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６北多摩西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L40" i="1"/>
  <c r="K40" i="1"/>
  <c r="J40" i="1"/>
  <c r="I40" i="1"/>
  <c r="G40" i="1"/>
  <c r="F40" i="1"/>
  <c r="E40" i="1"/>
  <c r="L39" i="1"/>
  <c r="K39" i="1"/>
  <c r="J39" i="1"/>
  <c r="I39" i="1"/>
  <c r="G39" i="1"/>
  <c r="F39" i="1"/>
  <c r="E39" i="1"/>
  <c r="L38" i="1"/>
  <c r="K38" i="1"/>
  <c r="J38" i="1"/>
  <c r="I38" i="1"/>
  <c r="G38" i="1"/>
  <c r="F38" i="1"/>
  <c r="E38" i="1"/>
  <c r="L37" i="1"/>
  <c r="K37" i="1"/>
  <c r="J37" i="1"/>
  <c r="I37" i="1"/>
  <c r="G37" i="1"/>
  <c r="F37" i="1"/>
  <c r="E37" i="1"/>
  <c r="J13" i="1" l="1"/>
  <c r="J68" i="1" l="1"/>
  <c r="H33" i="1"/>
  <c r="H63" i="1" l="1"/>
  <c r="J62" i="1"/>
  <c r="J61" i="1"/>
  <c r="J60" i="1"/>
  <c r="J59" i="1"/>
  <c r="J58" i="1"/>
  <c r="J57" i="1"/>
  <c r="J56" i="1"/>
  <c r="H56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M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H5" i="1"/>
  <c r="O51" i="1" l="1"/>
  <c r="J66" i="1" s="1"/>
  <c r="J63" i="1"/>
  <c r="J67" i="1" s="1"/>
  <c r="J33" i="1"/>
  <c r="J65" i="1" s="1"/>
  <c r="J70" i="1" l="1"/>
  <c r="J71" i="1" s="1"/>
  <c r="J72" i="1" s="1"/>
</calcChain>
</file>

<file path=xl/sharedStrings.xml><?xml version="1.0" encoding="utf-8"?>
<sst xmlns="http://schemas.openxmlformats.org/spreadsheetml/2006/main" count="148" uniqueCount="97">
  <si>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</si>
  <si>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</si>
  <si>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</si>
  <si>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</si>
  <si>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</si>
  <si>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</si>
  <si>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</si>
  <si>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</si>
  <si>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</si>
  <si>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</si>
  <si>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</si>
  <si>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</si>
  <si>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</si>
  <si>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</si>
  <si>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</si>
  <si>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</si>
  <si>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</si>
  <si>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</si>
  <si>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</si>
  <si>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</si>
  <si>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</si>
  <si>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</si>
  <si>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</si>
  <si>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</si>
  <si>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</si>
  <si>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</si>
  <si>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</si>
  <si>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</si>
  <si>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</si>
  <si>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</si>
  <si>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</si>
  <si>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</si>
  <si>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</si>
  <si>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</si>
  <si>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</si>
  <si>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</si>
  <si>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</si>
  <si>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</si>
  <si>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50～79</t>
    <phoneticPr fontId="3"/>
  </si>
  <si>
    <t>Ｈ30～49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</si>
  <si>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</si>
  <si>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</si>
  <si>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</si>
  <si>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</si>
  <si>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</si>
  <si>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</si>
  <si>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</si>
  <si>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</si>
  <si>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</si>
  <si>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</si>
  <si>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</si>
  <si>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</si>
  <si>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</si>
  <si>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</si>
  <si>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</si>
  <si>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</si>
  <si>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</si>
  <si>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</si>
  <si>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</si>
  <si>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</si>
  <si>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</si>
  <si>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80～99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</si>
  <si>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</si>
  <si>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</si>
  <si>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</si>
  <si>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</si>
  <si>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</si>
  <si>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</si>
  <si>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</si>
  <si>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</si>
  <si>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</si>
  <si>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</si>
  <si>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</si>
  <si>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</si>
  <si>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</si>
  <si>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</si>
  <si>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</si>
  <si>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</si>
  <si>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</si>
  <si>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</si>
  <si>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</si>
  <si>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</si>
  <si>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</si>
  <si>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</si>
  <si>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</si>
  <si>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</si>
  <si>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</si>
  <si>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</si>
  <si>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</si>
  <si>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</si>
  <si>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</si>
  <si>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</si>
  <si>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</si>
  <si>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</si>
  <si>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６　北多摩西部</t>
    <rPh sb="2" eb="3">
      <t>キタ</t>
    </rPh>
    <rPh sb="3" eb="5">
      <t>タマ</t>
    </rPh>
    <rPh sb="5" eb="7">
      <t>セイブ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</si>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</sst>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7" fillId="0" borderId="28" xfId="2" applyFont="1" applyBorder="1" applyProtection="1"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top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8" fontId="10" fillId="4" borderId="46" xfId="1" applyNumberFormat="1" applyFont="1" applyFill="1" applyBorder="1" applyAlignment="1" applyProtection="1">
      <alignment vertical="center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center" vertical="center" textRotation="255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60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Q2" sqref="Q2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91</v>
      </c>
    </row>
    <row r="2" spans="2:16" ht="13.5" thickBot="1">
      <c r="B2" s="1" t="s">
        <v>94</v>
      </c>
    </row>
    <row r="3" spans="2:16" ht="13.5" customHeight="1">
      <c r="B3" s="97" t="s">
        <v>0</v>
      </c>
      <c r="C3" s="98"/>
      <c r="D3" s="99"/>
      <c r="E3" s="103" t="s">
        <v>1</v>
      </c>
      <c r="F3" s="105" t="s">
        <v>74</v>
      </c>
      <c r="G3" s="106"/>
      <c r="H3" s="105" t="s">
        <v>92</v>
      </c>
      <c r="I3" s="106"/>
      <c r="J3" s="105" t="s">
        <v>75</v>
      </c>
      <c r="K3" s="109"/>
      <c r="L3" s="110"/>
      <c r="M3" s="3"/>
      <c r="N3" s="205" t="s">
        <v>2</v>
      </c>
      <c r="O3" s="206"/>
      <c r="P3" s="207"/>
    </row>
    <row r="4" spans="2:16" ht="29.25" customHeight="1">
      <c r="B4" s="100"/>
      <c r="C4" s="101"/>
      <c r="D4" s="102"/>
      <c r="E4" s="104"/>
      <c r="F4" s="107"/>
      <c r="G4" s="108"/>
      <c r="H4" s="4"/>
      <c r="I4" s="5" t="s">
        <v>86</v>
      </c>
      <c r="J4" s="107"/>
      <c r="K4" s="111"/>
      <c r="L4" s="112"/>
      <c r="M4" s="3"/>
      <c r="N4" s="208"/>
      <c r="O4" s="209"/>
      <c r="P4" s="210"/>
    </row>
    <row r="5" spans="2:16" ht="13.5" customHeight="1">
      <c r="B5" s="134" t="s">
        <v>3</v>
      </c>
      <c r="C5" s="115" t="s">
        <v>4</v>
      </c>
      <c r="D5" s="57" t="s">
        <v>35</v>
      </c>
      <c r="E5" s="58" t="s">
        <v>5</v>
      </c>
      <c r="F5" s="116"/>
      <c r="G5" s="117"/>
      <c r="H5" s="124">
        <f>SUM(I5:I32)</f>
        <v>20000</v>
      </c>
      <c r="I5" s="6">
        <v>13083</v>
      </c>
      <c r="J5" s="127">
        <f t="shared" ref="J5:J32" si="0">F5*I5</f>
        <v>0</v>
      </c>
      <c r="K5" s="128"/>
      <c r="L5" s="129"/>
      <c r="M5" s="7"/>
      <c r="N5" s="8" t="s">
        <v>4</v>
      </c>
      <c r="O5" s="9" t="s">
        <v>7</v>
      </c>
      <c r="P5" s="10"/>
    </row>
    <row r="6" spans="2:16" ht="13.5">
      <c r="B6" s="134"/>
      <c r="C6" s="115"/>
      <c r="D6" s="59" t="s">
        <v>36</v>
      </c>
      <c r="E6" s="60" t="s">
        <v>6</v>
      </c>
      <c r="F6" s="120"/>
      <c r="G6" s="121"/>
      <c r="H6" s="125"/>
      <c r="I6" s="11">
        <v>32</v>
      </c>
      <c r="J6" s="122">
        <f t="shared" si="0"/>
        <v>0</v>
      </c>
      <c r="K6" s="122"/>
      <c r="L6" s="123"/>
      <c r="M6" s="7"/>
      <c r="N6" s="12"/>
      <c r="O6" s="211" t="s">
        <v>66</v>
      </c>
      <c r="P6" s="212"/>
    </row>
    <row r="7" spans="2:16" ht="13.5">
      <c r="B7" s="134"/>
      <c r="C7" s="115"/>
      <c r="D7" s="59" t="s">
        <v>37</v>
      </c>
      <c r="E7" s="60" t="s">
        <v>5</v>
      </c>
      <c r="F7" s="120"/>
      <c r="G7" s="121"/>
      <c r="H7" s="125"/>
      <c r="I7" s="11">
        <v>90</v>
      </c>
      <c r="J7" s="122">
        <f t="shared" si="0"/>
        <v>0</v>
      </c>
      <c r="K7" s="122"/>
      <c r="L7" s="123"/>
      <c r="M7" s="7"/>
      <c r="N7" s="12"/>
      <c r="O7" s="213"/>
      <c r="P7" s="212"/>
    </row>
    <row r="8" spans="2:16" ht="13.5">
      <c r="B8" s="134"/>
      <c r="C8" s="115"/>
      <c r="D8" s="61" t="s">
        <v>38</v>
      </c>
      <c r="E8" s="62" t="s">
        <v>6</v>
      </c>
      <c r="F8" s="130"/>
      <c r="G8" s="131"/>
      <c r="H8" s="125"/>
      <c r="I8" s="13">
        <v>6</v>
      </c>
      <c r="J8" s="113">
        <f t="shared" si="0"/>
        <v>0</v>
      </c>
      <c r="K8" s="113"/>
      <c r="L8" s="114"/>
      <c r="M8" s="7"/>
      <c r="N8" s="14"/>
      <c r="O8" s="15"/>
      <c r="P8" s="16"/>
    </row>
    <row r="9" spans="2:16" ht="13.5" customHeight="1">
      <c r="B9" s="134"/>
      <c r="C9" s="115" t="s">
        <v>9</v>
      </c>
      <c r="D9" s="57" t="s">
        <v>39</v>
      </c>
      <c r="E9" s="63" t="s">
        <v>5</v>
      </c>
      <c r="F9" s="116"/>
      <c r="G9" s="117"/>
      <c r="H9" s="125"/>
      <c r="I9" s="6">
        <v>180</v>
      </c>
      <c r="J9" s="118">
        <f t="shared" si="0"/>
        <v>0</v>
      </c>
      <c r="K9" s="118"/>
      <c r="L9" s="119"/>
      <c r="M9" s="7"/>
      <c r="N9" s="8" t="s">
        <v>9</v>
      </c>
      <c r="O9" s="17" t="s">
        <v>7</v>
      </c>
      <c r="P9" s="10"/>
    </row>
    <row r="10" spans="2:16" ht="13.5">
      <c r="B10" s="134"/>
      <c r="C10" s="115"/>
      <c r="D10" s="59" t="s">
        <v>11</v>
      </c>
      <c r="E10" s="60" t="s">
        <v>6</v>
      </c>
      <c r="F10" s="120"/>
      <c r="G10" s="121"/>
      <c r="H10" s="125"/>
      <c r="I10" s="11">
        <v>14</v>
      </c>
      <c r="J10" s="122">
        <f t="shared" si="0"/>
        <v>0</v>
      </c>
      <c r="K10" s="122"/>
      <c r="L10" s="123"/>
      <c r="M10" s="7"/>
      <c r="N10" s="12"/>
      <c r="O10" s="17" t="s">
        <v>67</v>
      </c>
      <c r="P10" s="10"/>
    </row>
    <row r="11" spans="2:16" ht="13.5">
      <c r="B11" s="134"/>
      <c r="C11" s="115"/>
      <c r="D11" s="59" t="s">
        <v>37</v>
      </c>
      <c r="E11" s="60" t="s">
        <v>5</v>
      </c>
      <c r="F11" s="120"/>
      <c r="G11" s="121"/>
      <c r="H11" s="125"/>
      <c r="I11" s="11">
        <v>2290</v>
      </c>
      <c r="J11" s="122">
        <f t="shared" si="0"/>
        <v>0</v>
      </c>
      <c r="K11" s="122"/>
      <c r="L11" s="123"/>
      <c r="M11" s="7"/>
      <c r="N11" s="12"/>
      <c r="O11" s="17" t="s">
        <v>12</v>
      </c>
      <c r="P11" s="10"/>
    </row>
    <row r="12" spans="2:16" ht="13.5">
      <c r="B12" s="134"/>
      <c r="C12" s="115"/>
      <c r="D12" s="59" t="s">
        <v>38</v>
      </c>
      <c r="E12" s="60" t="s">
        <v>6</v>
      </c>
      <c r="F12" s="120"/>
      <c r="G12" s="121"/>
      <c r="H12" s="125"/>
      <c r="I12" s="11">
        <v>1376</v>
      </c>
      <c r="J12" s="122">
        <f t="shared" si="0"/>
        <v>0</v>
      </c>
      <c r="K12" s="122"/>
      <c r="L12" s="123"/>
      <c r="M12" s="7"/>
      <c r="N12" s="12"/>
      <c r="O12" s="17" t="s">
        <v>68</v>
      </c>
      <c r="P12" s="10"/>
    </row>
    <row r="13" spans="2:16" ht="13.5">
      <c r="B13" s="134"/>
      <c r="C13" s="115"/>
      <c r="D13" s="59" t="s">
        <v>40</v>
      </c>
      <c r="E13" s="60" t="s">
        <v>5</v>
      </c>
      <c r="F13" s="120"/>
      <c r="G13" s="121"/>
      <c r="H13" s="125"/>
      <c r="I13" s="11">
        <v>920</v>
      </c>
      <c r="J13" s="122">
        <f t="shared" si="0"/>
        <v>0</v>
      </c>
      <c r="K13" s="122"/>
      <c r="L13" s="123"/>
      <c r="M13" s="7"/>
      <c r="N13" s="12"/>
      <c r="O13" s="17" t="s">
        <v>69</v>
      </c>
      <c r="P13" s="10"/>
    </row>
    <row r="14" spans="2:16" ht="13.5">
      <c r="B14" s="134"/>
      <c r="C14" s="115"/>
      <c r="D14" s="59" t="s">
        <v>41</v>
      </c>
      <c r="E14" s="60" t="s">
        <v>6</v>
      </c>
      <c r="F14" s="120"/>
      <c r="G14" s="121"/>
      <c r="H14" s="125"/>
      <c r="I14" s="11">
        <v>876</v>
      </c>
      <c r="J14" s="122">
        <f t="shared" si="0"/>
        <v>0</v>
      </c>
      <c r="K14" s="122"/>
      <c r="L14" s="123"/>
      <c r="M14" s="7"/>
      <c r="N14" s="12"/>
      <c r="O14" s="17" t="s">
        <v>16</v>
      </c>
      <c r="P14" s="10"/>
    </row>
    <row r="15" spans="2:16" ht="13.5">
      <c r="B15" s="134"/>
      <c r="C15" s="115"/>
      <c r="D15" s="64" t="s">
        <v>42</v>
      </c>
      <c r="E15" s="60" t="s">
        <v>5</v>
      </c>
      <c r="F15" s="120"/>
      <c r="G15" s="121"/>
      <c r="H15" s="125"/>
      <c r="I15" s="11">
        <v>12</v>
      </c>
      <c r="J15" s="122">
        <f t="shared" si="0"/>
        <v>0</v>
      </c>
      <c r="K15" s="122"/>
      <c r="L15" s="123"/>
      <c r="M15" s="7"/>
      <c r="N15" s="12"/>
      <c r="O15" s="214" t="s">
        <v>70</v>
      </c>
      <c r="P15" s="215"/>
    </row>
    <row r="16" spans="2:16" ht="13.5">
      <c r="B16" s="134"/>
      <c r="C16" s="115"/>
      <c r="D16" s="64" t="s">
        <v>43</v>
      </c>
      <c r="E16" s="60" t="s">
        <v>6</v>
      </c>
      <c r="F16" s="120"/>
      <c r="G16" s="121"/>
      <c r="H16" s="125"/>
      <c r="I16" s="11">
        <v>264</v>
      </c>
      <c r="J16" s="122">
        <f t="shared" si="0"/>
        <v>0</v>
      </c>
      <c r="K16" s="122"/>
      <c r="L16" s="123"/>
      <c r="M16" s="7"/>
      <c r="N16" s="12"/>
      <c r="O16" s="216"/>
      <c r="P16" s="215"/>
    </row>
    <row r="17" spans="2:16" ht="13.5">
      <c r="B17" s="134"/>
      <c r="C17" s="115"/>
      <c r="D17" s="59" t="s">
        <v>44</v>
      </c>
      <c r="E17" s="60" t="s">
        <v>5</v>
      </c>
      <c r="F17" s="120"/>
      <c r="G17" s="121"/>
      <c r="H17" s="125"/>
      <c r="I17" s="11">
        <v>460</v>
      </c>
      <c r="J17" s="122">
        <f t="shared" si="0"/>
        <v>0</v>
      </c>
      <c r="K17" s="122"/>
      <c r="L17" s="123"/>
      <c r="M17" s="7"/>
      <c r="N17" s="12"/>
      <c r="O17" s="17" t="s">
        <v>18</v>
      </c>
      <c r="P17" s="18"/>
    </row>
    <row r="18" spans="2:16" ht="13.5">
      <c r="B18" s="134"/>
      <c r="C18" s="115"/>
      <c r="D18" s="59" t="s">
        <v>45</v>
      </c>
      <c r="E18" s="60" t="s">
        <v>6</v>
      </c>
      <c r="F18" s="120"/>
      <c r="G18" s="121"/>
      <c r="H18" s="125"/>
      <c r="I18" s="11">
        <v>230</v>
      </c>
      <c r="J18" s="122">
        <f t="shared" si="0"/>
        <v>0</v>
      </c>
      <c r="K18" s="122"/>
      <c r="L18" s="123"/>
      <c r="M18" s="7"/>
      <c r="N18" s="12"/>
      <c r="O18" s="217" t="s">
        <v>71</v>
      </c>
      <c r="P18" s="218"/>
    </row>
    <row r="19" spans="2:16" ht="13.5">
      <c r="B19" s="134"/>
      <c r="C19" s="115"/>
      <c r="D19" s="59" t="s">
        <v>46</v>
      </c>
      <c r="E19" s="60" t="s">
        <v>5</v>
      </c>
      <c r="F19" s="120"/>
      <c r="G19" s="121"/>
      <c r="H19" s="125"/>
      <c r="I19" s="11">
        <v>14</v>
      </c>
      <c r="J19" s="122">
        <f t="shared" si="0"/>
        <v>0</v>
      </c>
      <c r="K19" s="122"/>
      <c r="L19" s="123"/>
      <c r="M19" s="7"/>
      <c r="N19" s="12"/>
      <c r="O19" s="217"/>
      <c r="P19" s="218"/>
    </row>
    <row r="20" spans="2:16" ht="13.5">
      <c r="B20" s="134"/>
      <c r="C20" s="115"/>
      <c r="D20" s="61" t="s">
        <v>47</v>
      </c>
      <c r="E20" s="62" t="s">
        <v>6</v>
      </c>
      <c r="F20" s="120"/>
      <c r="G20" s="121"/>
      <c r="H20" s="125"/>
      <c r="I20" s="13">
        <v>86</v>
      </c>
      <c r="J20" s="113">
        <f t="shared" si="0"/>
        <v>0</v>
      </c>
      <c r="K20" s="113"/>
      <c r="L20" s="114"/>
      <c r="M20" s="7"/>
      <c r="N20" s="14"/>
      <c r="O20" s="219"/>
      <c r="P20" s="220"/>
    </row>
    <row r="21" spans="2:16" ht="13.5" customHeight="1">
      <c r="B21" s="134"/>
      <c r="C21" s="115" t="s">
        <v>15</v>
      </c>
      <c r="D21" s="65" t="s">
        <v>48</v>
      </c>
      <c r="E21" s="66" t="s">
        <v>5</v>
      </c>
      <c r="F21" s="95"/>
      <c r="G21" s="96"/>
      <c r="H21" s="125"/>
      <c r="I21" s="6">
        <v>0</v>
      </c>
      <c r="J21" s="118">
        <f t="shared" si="0"/>
        <v>0</v>
      </c>
      <c r="K21" s="118"/>
      <c r="L21" s="119"/>
      <c r="M21" s="7"/>
      <c r="N21" s="8" t="s">
        <v>15</v>
      </c>
      <c r="O21" s="17" t="s">
        <v>16</v>
      </c>
      <c r="P21" s="10"/>
    </row>
    <row r="22" spans="2:16" ht="13.5">
      <c r="B22" s="134"/>
      <c r="C22" s="115"/>
      <c r="D22" s="59" t="s">
        <v>49</v>
      </c>
      <c r="E22" s="67" t="s">
        <v>6</v>
      </c>
      <c r="F22" s="120"/>
      <c r="G22" s="121"/>
      <c r="H22" s="125"/>
      <c r="I22" s="11">
        <v>3</v>
      </c>
      <c r="J22" s="122">
        <f t="shared" si="0"/>
        <v>0</v>
      </c>
      <c r="K22" s="122"/>
      <c r="L22" s="123"/>
      <c r="M22" s="7"/>
      <c r="N22" s="12"/>
      <c r="O22" s="17" t="s">
        <v>72</v>
      </c>
      <c r="P22" s="18"/>
    </row>
    <row r="23" spans="2:16" ht="13.5">
      <c r="B23" s="134"/>
      <c r="C23" s="115"/>
      <c r="D23" s="59" t="s">
        <v>50</v>
      </c>
      <c r="E23" s="67" t="s">
        <v>5</v>
      </c>
      <c r="F23" s="93"/>
      <c r="G23" s="94"/>
      <c r="H23" s="125"/>
      <c r="I23" s="11">
        <v>0</v>
      </c>
      <c r="J23" s="122">
        <f t="shared" si="0"/>
        <v>0</v>
      </c>
      <c r="K23" s="122"/>
      <c r="L23" s="123"/>
      <c r="M23" s="7"/>
      <c r="N23" s="12"/>
      <c r="O23" s="17" t="s">
        <v>73</v>
      </c>
      <c r="P23" s="10"/>
    </row>
    <row r="24" spans="2:16" ht="13.5">
      <c r="B24" s="134"/>
      <c r="C24" s="115"/>
      <c r="D24" s="59" t="s">
        <v>51</v>
      </c>
      <c r="E24" s="67" t="s">
        <v>6</v>
      </c>
      <c r="F24" s="120"/>
      <c r="G24" s="121"/>
      <c r="H24" s="125"/>
      <c r="I24" s="11">
        <v>12</v>
      </c>
      <c r="J24" s="122">
        <f t="shared" si="0"/>
        <v>0</v>
      </c>
      <c r="K24" s="122"/>
      <c r="L24" s="123"/>
      <c r="M24" s="7"/>
      <c r="N24" s="12"/>
      <c r="O24" s="17" t="s">
        <v>18</v>
      </c>
      <c r="P24" s="10"/>
    </row>
    <row r="25" spans="2:16" ht="13.5">
      <c r="B25" s="134"/>
      <c r="C25" s="115"/>
      <c r="D25" s="59" t="s">
        <v>52</v>
      </c>
      <c r="E25" s="67" t="s">
        <v>5</v>
      </c>
      <c r="F25" s="93"/>
      <c r="G25" s="94"/>
      <c r="H25" s="125"/>
      <c r="I25" s="11">
        <v>0</v>
      </c>
      <c r="J25" s="122">
        <f t="shared" si="0"/>
        <v>0</v>
      </c>
      <c r="K25" s="122"/>
      <c r="L25" s="123"/>
      <c r="M25" s="7"/>
      <c r="N25" s="12"/>
      <c r="O25" s="17" t="s">
        <v>19</v>
      </c>
      <c r="P25" s="10"/>
    </row>
    <row r="26" spans="2:16" ht="13.5">
      <c r="B26" s="134"/>
      <c r="C26" s="115"/>
      <c r="D26" s="59" t="s">
        <v>53</v>
      </c>
      <c r="E26" s="67" t="s">
        <v>6</v>
      </c>
      <c r="F26" s="120"/>
      <c r="G26" s="121"/>
      <c r="H26" s="125"/>
      <c r="I26" s="11">
        <v>20</v>
      </c>
      <c r="J26" s="122">
        <f t="shared" si="0"/>
        <v>0</v>
      </c>
      <c r="K26" s="122"/>
      <c r="L26" s="123"/>
      <c r="M26" s="7"/>
      <c r="N26" s="12"/>
      <c r="O26" s="217" t="s">
        <v>20</v>
      </c>
      <c r="P26" s="221"/>
    </row>
    <row r="27" spans="2:16" ht="13.5">
      <c r="B27" s="134"/>
      <c r="C27" s="115"/>
      <c r="D27" s="59" t="s">
        <v>54</v>
      </c>
      <c r="E27" s="67" t="s">
        <v>5</v>
      </c>
      <c r="F27" s="93"/>
      <c r="G27" s="94"/>
      <c r="H27" s="125"/>
      <c r="I27" s="11">
        <v>0</v>
      </c>
      <c r="J27" s="122">
        <f t="shared" si="0"/>
        <v>0</v>
      </c>
      <c r="K27" s="122"/>
      <c r="L27" s="123"/>
      <c r="M27" s="7"/>
      <c r="N27" s="12"/>
      <c r="O27" s="222"/>
      <c r="P27" s="221"/>
    </row>
    <row r="28" spans="2:16" ht="13.5">
      <c r="B28" s="134"/>
      <c r="C28" s="115"/>
      <c r="D28" s="59" t="s">
        <v>55</v>
      </c>
      <c r="E28" s="67" t="s">
        <v>6</v>
      </c>
      <c r="F28" s="120"/>
      <c r="G28" s="121"/>
      <c r="H28" s="125"/>
      <c r="I28" s="11">
        <v>16</v>
      </c>
      <c r="J28" s="122">
        <f t="shared" si="0"/>
        <v>0</v>
      </c>
      <c r="K28" s="122"/>
      <c r="L28" s="123"/>
      <c r="M28" s="7"/>
      <c r="N28" s="12"/>
      <c r="O28" s="17"/>
      <c r="P28" s="10"/>
    </row>
    <row r="29" spans="2:16" ht="14.25" customHeight="1">
      <c r="B29" s="134"/>
      <c r="C29" s="115"/>
      <c r="D29" s="59" t="s">
        <v>56</v>
      </c>
      <c r="E29" s="67" t="s">
        <v>5</v>
      </c>
      <c r="F29" s="93"/>
      <c r="G29" s="94"/>
      <c r="H29" s="125"/>
      <c r="I29" s="11">
        <v>0</v>
      </c>
      <c r="J29" s="122">
        <f t="shared" si="0"/>
        <v>0</v>
      </c>
      <c r="K29" s="122"/>
      <c r="L29" s="123"/>
      <c r="M29" s="7"/>
      <c r="N29" s="12"/>
      <c r="O29" s="17"/>
      <c r="P29" s="10"/>
    </row>
    <row r="30" spans="2:16" ht="13.5">
      <c r="B30" s="134"/>
      <c r="C30" s="115"/>
      <c r="D30" s="59" t="s">
        <v>57</v>
      </c>
      <c r="E30" s="67" t="s">
        <v>6</v>
      </c>
      <c r="F30" s="120"/>
      <c r="G30" s="121"/>
      <c r="H30" s="125"/>
      <c r="I30" s="11">
        <v>12</v>
      </c>
      <c r="J30" s="122">
        <f t="shared" si="0"/>
        <v>0</v>
      </c>
      <c r="K30" s="122"/>
      <c r="L30" s="123"/>
      <c r="M30" s="7"/>
      <c r="N30" s="12"/>
      <c r="O30" s="17"/>
      <c r="P30" s="10"/>
    </row>
    <row r="31" spans="2:16" ht="14.25" customHeight="1">
      <c r="B31" s="134"/>
      <c r="C31" s="115"/>
      <c r="D31" s="59" t="s">
        <v>58</v>
      </c>
      <c r="E31" s="67" t="s">
        <v>5</v>
      </c>
      <c r="F31" s="93"/>
      <c r="G31" s="94"/>
      <c r="H31" s="125"/>
      <c r="I31" s="11">
        <v>0</v>
      </c>
      <c r="J31" s="122">
        <f t="shared" si="0"/>
        <v>0</v>
      </c>
      <c r="K31" s="122"/>
      <c r="L31" s="123"/>
      <c r="M31" s="7"/>
      <c r="N31" s="12"/>
      <c r="O31" s="17"/>
      <c r="P31" s="10"/>
    </row>
    <row r="32" spans="2:16" ht="14.25" thickBot="1">
      <c r="B32" s="151"/>
      <c r="C32" s="150"/>
      <c r="D32" s="68" t="s">
        <v>59</v>
      </c>
      <c r="E32" s="69" t="s">
        <v>6</v>
      </c>
      <c r="F32" s="120"/>
      <c r="G32" s="121"/>
      <c r="H32" s="126"/>
      <c r="I32" s="19">
        <v>4</v>
      </c>
      <c r="J32" s="122">
        <f t="shared" si="0"/>
        <v>0</v>
      </c>
      <c r="K32" s="122"/>
      <c r="L32" s="123"/>
      <c r="M32" s="7"/>
      <c r="N32" s="12"/>
      <c r="O32" s="17"/>
      <c r="P32" s="18"/>
    </row>
    <row r="33" spans="2:20" ht="30" customHeight="1" thickBot="1">
      <c r="B33" s="140" t="s">
        <v>21</v>
      </c>
      <c r="C33" s="141"/>
      <c r="D33" s="141"/>
      <c r="E33" s="142"/>
      <c r="F33" s="143"/>
      <c r="G33" s="144"/>
      <c r="H33" s="145">
        <f>SUM(I5:I32)</f>
        <v>20000</v>
      </c>
      <c r="I33" s="146"/>
      <c r="J33" s="147">
        <f>SUM(J5:L32)</f>
        <v>0</v>
      </c>
      <c r="K33" s="148"/>
      <c r="L33" s="149"/>
      <c r="M33" s="20" t="s">
        <v>60</v>
      </c>
      <c r="N33" s="223" t="s">
        <v>93</v>
      </c>
      <c r="O33" s="224"/>
      <c r="P33" s="225"/>
    </row>
    <row r="34" spans="2:20" ht="13.5" thickBot="1">
      <c r="B34" s="21"/>
      <c r="C34" s="21"/>
      <c r="D34" s="22"/>
      <c r="E34" s="22"/>
      <c r="F34" s="23"/>
      <c r="G34" s="23"/>
      <c r="H34" s="24"/>
      <c r="I34" s="7"/>
      <c r="J34" s="7"/>
      <c r="K34" s="25"/>
      <c r="L34" s="26"/>
      <c r="M34" s="7"/>
      <c r="N34" s="7"/>
      <c r="O34" s="7"/>
      <c r="P34" s="7"/>
    </row>
    <row r="35" spans="2:20" ht="13.5" customHeight="1">
      <c r="B35" s="97" t="s">
        <v>0</v>
      </c>
      <c r="C35" s="98"/>
      <c r="D35" s="99"/>
      <c r="E35" s="167" t="s">
        <v>82</v>
      </c>
      <c r="F35" s="168"/>
      <c r="G35" s="168"/>
      <c r="H35" s="168"/>
      <c r="I35" s="168"/>
      <c r="J35" s="168"/>
      <c r="K35" s="168"/>
      <c r="L35" s="169"/>
      <c r="M35" s="105" t="s">
        <v>92</v>
      </c>
      <c r="N35" s="106"/>
      <c r="O35" s="132" t="s">
        <v>75</v>
      </c>
      <c r="P35" s="7"/>
    </row>
    <row r="36" spans="2:20" ht="22.5">
      <c r="B36" s="100"/>
      <c r="C36" s="101"/>
      <c r="D36" s="102"/>
      <c r="E36" s="27" t="s">
        <v>83</v>
      </c>
      <c r="F36" s="28">
        <v>20</v>
      </c>
      <c r="G36" s="29">
        <v>30</v>
      </c>
      <c r="H36" s="30">
        <v>40</v>
      </c>
      <c r="I36" s="31">
        <v>50</v>
      </c>
      <c r="J36" s="28">
        <v>60</v>
      </c>
      <c r="K36" s="28">
        <v>70</v>
      </c>
      <c r="L36" s="29">
        <v>80</v>
      </c>
      <c r="M36" s="4"/>
      <c r="N36" s="5" t="s">
        <v>87</v>
      </c>
      <c r="O36" s="133"/>
      <c r="P36" s="7"/>
    </row>
    <row r="37" spans="2:20" ht="13.5" customHeight="1">
      <c r="B37" s="134" t="s">
        <v>22</v>
      </c>
      <c r="C37" s="115" t="s">
        <v>4</v>
      </c>
      <c r="D37" s="57" t="s">
        <v>35</v>
      </c>
      <c r="E37" s="82">
        <f>ROUND(H37*0.555,0)</f>
        <v>0</v>
      </c>
      <c r="F37" s="82">
        <f>ROUND(H37*0.778,0)</f>
        <v>0</v>
      </c>
      <c r="G37" s="82">
        <f>ROUND(H37*0.888,0)</f>
        <v>0</v>
      </c>
      <c r="H37" s="83"/>
      <c r="I37" s="82">
        <f>ROUND(H37*1.082,0)</f>
        <v>0</v>
      </c>
      <c r="J37" s="82">
        <f>ROUND(H37*1.194,0)</f>
        <v>0</v>
      </c>
      <c r="K37" s="82">
        <f>ROUND(H37*1.277,0)</f>
        <v>0</v>
      </c>
      <c r="L37" s="84">
        <f>ROUND(H37*1.388,0)</f>
        <v>0</v>
      </c>
      <c r="M37" s="136">
        <f>SUM(N37:N50)</f>
        <v>30000</v>
      </c>
      <c r="N37" s="32">
        <v>17072</v>
      </c>
      <c r="O37" s="33">
        <f t="shared" ref="O37:O50" si="1">H37*N37</f>
        <v>0</v>
      </c>
      <c r="P37" s="7"/>
      <c r="R37" s="34"/>
      <c r="S37" s="34"/>
      <c r="T37" s="34"/>
    </row>
    <row r="38" spans="2:20">
      <c r="B38" s="134"/>
      <c r="C38" s="115"/>
      <c r="D38" s="61" t="s">
        <v>8</v>
      </c>
      <c r="E38" s="85">
        <f>ROUND(H38*0.56,0)</f>
        <v>0</v>
      </c>
      <c r="F38" s="85">
        <f>ROUND(H38*0.78,0)</f>
        <v>0</v>
      </c>
      <c r="G38" s="85">
        <f>ROUND(H38*0.877,0)</f>
        <v>0</v>
      </c>
      <c r="H38" s="86"/>
      <c r="I38" s="85">
        <f>ROUND(H38*1.097,0)</f>
        <v>0</v>
      </c>
      <c r="J38" s="85">
        <f>ROUND(H38*1.195,0)</f>
        <v>0</v>
      </c>
      <c r="K38" s="85">
        <f>ROUND(H38*1.292,0)</f>
        <v>0</v>
      </c>
      <c r="L38" s="87">
        <f>ROUND(H38*1.39,0)</f>
        <v>0</v>
      </c>
      <c r="M38" s="137"/>
      <c r="N38" s="35">
        <v>144</v>
      </c>
      <c r="O38" s="36">
        <f t="shared" si="1"/>
        <v>0</v>
      </c>
      <c r="P38" s="7"/>
      <c r="R38" s="34"/>
      <c r="S38" s="34"/>
      <c r="T38" s="34"/>
    </row>
    <row r="39" spans="2:20" ht="13.5" customHeight="1">
      <c r="B39" s="134"/>
      <c r="C39" s="115" t="s">
        <v>9</v>
      </c>
      <c r="D39" s="57" t="s">
        <v>10</v>
      </c>
      <c r="E39" s="82">
        <f>ROUND(H39*0.552,0)</f>
        <v>0</v>
      </c>
      <c r="F39" s="82">
        <f>ROUND(H39*0.789,0)</f>
        <v>0</v>
      </c>
      <c r="G39" s="82">
        <f>ROUND(H39*0.894,0)</f>
        <v>0</v>
      </c>
      <c r="H39" s="83"/>
      <c r="I39" s="82">
        <f>ROUND(H39*1.078,0)</f>
        <v>0</v>
      </c>
      <c r="J39" s="82">
        <f>ROUND(H39*1.183,0)</f>
        <v>0</v>
      </c>
      <c r="K39" s="82">
        <f>ROUND(H39*1.29,0)</f>
        <v>0</v>
      </c>
      <c r="L39" s="84">
        <f>ROUND(H39*1.394,0)</f>
        <v>0</v>
      </c>
      <c r="M39" s="137"/>
      <c r="N39" s="32">
        <v>291</v>
      </c>
      <c r="O39" s="33">
        <f t="shared" si="1"/>
        <v>0</v>
      </c>
      <c r="P39" s="7"/>
      <c r="R39" s="34"/>
      <c r="S39" s="34"/>
      <c r="T39" s="34"/>
    </row>
    <row r="40" spans="2:20">
      <c r="B40" s="134"/>
      <c r="C40" s="115"/>
      <c r="D40" s="59" t="s">
        <v>8</v>
      </c>
      <c r="E40" s="85">
        <f>ROUND(H40*0.563,0)</f>
        <v>0</v>
      </c>
      <c r="F40" s="85">
        <f>ROUND(H40*0.791,0)</f>
        <v>0</v>
      </c>
      <c r="G40" s="85">
        <f>ROUND(H40*0.895,0)</f>
        <v>0</v>
      </c>
      <c r="H40" s="86"/>
      <c r="I40" s="85">
        <f>ROUND(H40*1.104,0)</f>
        <v>0</v>
      </c>
      <c r="J40" s="85">
        <f>ROUND(H40*1.208,0)</f>
        <v>0</v>
      </c>
      <c r="K40" s="85">
        <f>ROUND(H40*1.312,0)</f>
        <v>0</v>
      </c>
      <c r="L40" s="87">
        <f>ROUND(H40*1.395,0)</f>
        <v>0</v>
      </c>
      <c r="M40" s="137"/>
      <c r="N40" s="37">
        <v>6749</v>
      </c>
      <c r="O40" s="38">
        <f t="shared" si="1"/>
        <v>0</v>
      </c>
      <c r="P40" s="7"/>
      <c r="R40" s="34"/>
      <c r="S40" s="34"/>
      <c r="T40" s="34"/>
    </row>
    <row r="41" spans="2:20">
      <c r="B41" s="134"/>
      <c r="C41" s="115"/>
      <c r="D41" s="59" t="s">
        <v>61</v>
      </c>
      <c r="E41" s="85">
        <f>ROUND(H41*0.56,0)</f>
        <v>0</v>
      </c>
      <c r="F41" s="85">
        <f>ROUND(H41*0.786,0)</f>
        <v>0</v>
      </c>
      <c r="G41" s="85">
        <f>ROUND(H41*0.893,0)</f>
        <v>0</v>
      </c>
      <c r="H41" s="86"/>
      <c r="I41" s="85">
        <f>ROUND(H41*1.093,0)</f>
        <v>0</v>
      </c>
      <c r="J41" s="85">
        <f>ROUND(H41*1.2,0)</f>
        <v>0</v>
      </c>
      <c r="K41" s="85">
        <f>ROUND(H41*1.293,0)</f>
        <v>0</v>
      </c>
      <c r="L41" s="87">
        <f>ROUND(H41*1.4,0)</f>
        <v>0</v>
      </c>
      <c r="M41" s="137"/>
      <c r="N41" s="37">
        <v>3944</v>
      </c>
      <c r="O41" s="38">
        <f t="shared" si="1"/>
        <v>0</v>
      </c>
      <c r="P41" s="7"/>
      <c r="R41" s="34"/>
      <c r="S41" s="34"/>
      <c r="T41" s="34"/>
    </row>
    <row r="42" spans="2:20">
      <c r="B42" s="134"/>
      <c r="C42" s="115"/>
      <c r="D42" s="59" t="s">
        <v>13</v>
      </c>
      <c r="E42" s="85">
        <f>ROUND(H42*0.558,0)</f>
        <v>0</v>
      </c>
      <c r="F42" s="85">
        <f>ROUND(H42*0.8,0)</f>
        <v>0</v>
      </c>
      <c r="G42" s="85">
        <f>ROUND(H42*0.9,0)</f>
        <v>0</v>
      </c>
      <c r="H42" s="86"/>
      <c r="I42" s="85">
        <f>ROUND(H42*1.1,0)</f>
        <v>0</v>
      </c>
      <c r="J42" s="85">
        <f>ROUND(H42*1.208,0)</f>
        <v>0</v>
      </c>
      <c r="K42" s="85">
        <f>ROUND(H42*1.308,0)</f>
        <v>0</v>
      </c>
      <c r="L42" s="87">
        <f>ROUND(H42*1.408,0)</f>
        <v>0</v>
      </c>
      <c r="M42" s="137"/>
      <c r="N42" s="37">
        <v>414</v>
      </c>
      <c r="O42" s="38">
        <f t="shared" si="1"/>
        <v>0</v>
      </c>
      <c r="P42" s="7"/>
      <c r="R42" s="34"/>
      <c r="S42" s="34"/>
      <c r="T42" s="34"/>
    </row>
    <row r="43" spans="2:20">
      <c r="B43" s="134"/>
      <c r="C43" s="115"/>
      <c r="D43" s="59" t="s">
        <v>30</v>
      </c>
      <c r="E43" s="85">
        <f>ROUND(H43*0.5575,0)</f>
        <v>0</v>
      </c>
      <c r="F43" s="85">
        <f>ROUND(H43*0.7915,0)</f>
        <v>0</v>
      </c>
      <c r="G43" s="85">
        <f>ROUND(H43*0.896,0)</f>
        <v>0</v>
      </c>
      <c r="H43" s="86"/>
      <c r="I43" s="85">
        <f>ROUND(H43*1.099,0)</f>
        <v>0</v>
      </c>
      <c r="J43" s="85">
        <f>ROUND(H43*1.203,0)</f>
        <v>0</v>
      </c>
      <c r="K43" s="85">
        <f>ROUND(H43*1.302,0)</f>
        <v>0</v>
      </c>
      <c r="L43" s="87">
        <f>ROUND(H43*1.406,0)</f>
        <v>0</v>
      </c>
      <c r="M43" s="137"/>
      <c r="N43" s="37">
        <v>1035</v>
      </c>
      <c r="O43" s="38">
        <f t="shared" si="1"/>
        <v>0</v>
      </c>
      <c r="P43" s="7"/>
      <c r="R43" s="34"/>
      <c r="S43" s="34"/>
      <c r="T43" s="34"/>
    </row>
    <row r="44" spans="2:20">
      <c r="B44" s="134"/>
      <c r="C44" s="115"/>
      <c r="D44" s="61" t="s">
        <v>14</v>
      </c>
      <c r="E44" s="85">
        <f>ROUND(H44*0.562,0)</f>
        <v>0</v>
      </c>
      <c r="F44" s="85">
        <f>ROUND(H44*0.794,)</f>
        <v>0</v>
      </c>
      <c r="G44" s="85">
        <f>ROUND(H44*0.8986,0)</f>
        <v>0</v>
      </c>
      <c r="H44" s="86"/>
      <c r="I44" s="85">
        <f>ROUND(H44*1.1012,0)</f>
        <v>0</v>
      </c>
      <c r="J44" s="85">
        <f>ROUND(H44*1.2025,0)</f>
        <v>0</v>
      </c>
      <c r="K44" s="85">
        <f>ROUND(H44*1.304,0)</f>
        <v>0</v>
      </c>
      <c r="L44" s="87">
        <f>ROUND(H44*1.4084,0)</f>
        <v>0</v>
      </c>
      <c r="M44" s="137"/>
      <c r="N44" s="37">
        <v>150</v>
      </c>
      <c r="O44" s="36">
        <f t="shared" si="1"/>
        <v>0</v>
      </c>
      <c r="P44" s="7"/>
      <c r="R44" s="34"/>
      <c r="S44" s="34"/>
      <c r="T44" s="34"/>
    </row>
    <row r="45" spans="2:20" ht="13.5" customHeight="1">
      <c r="B45" s="134"/>
      <c r="C45" s="115" t="s">
        <v>15</v>
      </c>
      <c r="D45" s="65" t="s">
        <v>62</v>
      </c>
      <c r="E45" s="82">
        <f>ROUND(H45*0.56,0)</f>
        <v>0</v>
      </c>
      <c r="F45" s="82">
        <f>ROUND(H45*0.798,0)</f>
        <v>0</v>
      </c>
      <c r="G45" s="82">
        <f>ROUND(H45*0.899,0)</f>
        <v>0</v>
      </c>
      <c r="H45" s="83"/>
      <c r="I45" s="82">
        <f>ROUND(H45*1.101,0)</f>
        <v>0</v>
      </c>
      <c r="J45" s="82">
        <f>ROUND(H45*1.202,0)</f>
        <v>0</v>
      </c>
      <c r="K45" s="82">
        <f>ROUND(H45*1.303,0)</f>
        <v>0</v>
      </c>
      <c r="L45" s="84">
        <f>ROUND(H45*1.404,0)</f>
        <v>0</v>
      </c>
      <c r="M45" s="137"/>
      <c r="N45" s="32">
        <v>9</v>
      </c>
      <c r="O45" s="39">
        <f t="shared" si="1"/>
        <v>0</v>
      </c>
      <c r="P45" s="7"/>
      <c r="R45" s="34"/>
      <c r="S45" s="34"/>
      <c r="T45" s="34"/>
    </row>
    <row r="46" spans="2:20">
      <c r="B46" s="134"/>
      <c r="C46" s="115"/>
      <c r="D46" s="59" t="s">
        <v>23</v>
      </c>
      <c r="E46" s="85">
        <f>ROUND(H46*0.563,0)</f>
        <v>0</v>
      </c>
      <c r="F46" s="85">
        <f>ROUND(H46*0.799,0)</f>
        <v>0</v>
      </c>
      <c r="G46" s="85">
        <f>ROUND(H46*0.9021,0)</f>
        <v>0</v>
      </c>
      <c r="H46" s="86"/>
      <c r="I46" s="85">
        <f>ROUND(H46*1.1032,0)</f>
        <v>0</v>
      </c>
      <c r="J46" s="85">
        <f>ROUND(H46*1.207,0)</f>
        <v>0</v>
      </c>
      <c r="K46" s="85">
        <f>ROUND(H46*1.3101,0)</f>
        <v>0</v>
      </c>
      <c r="L46" s="87">
        <f>ROUND(H46*1.408,0)</f>
        <v>0</v>
      </c>
      <c r="M46" s="137"/>
      <c r="N46" s="37">
        <v>36</v>
      </c>
      <c r="O46" s="40">
        <f t="shared" si="1"/>
        <v>0</v>
      </c>
      <c r="P46" s="7"/>
      <c r="R46" s="34"/>
      <c r="S46" s="34"/>
      <c r="T46" s="34"/>
    </row>
    <row r="47" spans="2:20">
      <c r="B47" s="134"/>
      <c r="C47" s="115"/>
      <c r="D47" s="59" t="s">
        <v>17</v>
      </c>
      <c r="E47" s="85">
        <f>ROUND(H47*0.562,0)</f>
        <v>0</v>
      </c>
      <c r="F47" s="85">
        <f>ROUND(H47*0.794,0)</f>
        <v>0</v>
      </c>
      <c r="G47" s="85">
        <f>ROUND(H47*0.8986,0)</f>
        <v>0</v>
      </c>
      <c r="H47" s="86"/>
      <c r="I47" s="85">
        <f>ROUND(H47*1.1012,0)</f>
        <v>0</v>
      </c>
      <c r="J47" s="85">
        <f>ROUND(H47*1.2025,0)</f>
        <v>0</v>
      </c>
      <c r="K47" s="85">
        <f>ROUND(H47*1.304,0)</f>
        <v>0</v>
      </c>
      <c r="L47" s="87">
        <f>ROUND(H47*1.4084,0)</f>
        <v>0</v>
      </c>
      <c r="M47" s="137"/>
      <c r="N47" s="37">
        <v>60</v>
      </c>
      <c r="O47" s="38">
        <f t="shared" si="1"/>
        <v>0</v>
      </c>
      <c r="P47" s="7"/>
      <c r="R47" s="34"/>
      <c r="S47" s="34"/>
      <c r="T47" s="34"/>
    </row>
    <row r="48" spans="2:20">
      <c r="B48" s="134"/>
      <c r="C48" s="115"/>
      <c r="D48" s="59" t="s">
        <v>63</v>
      </c>
      <c r="E48" s="85">
        <f>ROUND(H48*0.5614,0)</f>
        <v>0</v>
      </c>
      <c r="F48" s="85">
        <f>ROUND(H48*0.7951,0)</f>
        <v>0</v>
      </c>
      <c r="G48" s="85">
        <f>ROUND(H48*0.8987,0)</f>
        <v>0</v>
      </c>
      <c r="H48" s="86"/>
      <c r="I48" s="85">
        <f>ROUND(H48*1.1011,0)</f>
        <v>0</v>
      </c>
      <c r="J48" s="85">
        <f>ROUND(H48*1.2047,0)</f>
        <v>0</v>
      </c>
      <c r="K48" s="85">
        <f>ROUND(H48*1.306,0)</f>
        <v>0</v>
      </c>
      <c r="L48" s="87">
        <f>ROUND(H48*1.4072,0)</f>
        <v>0</v>
      </c>
      <c r="M48" s="137"/>
      <c r="N48" s="37">
        <v>48</v>
      </c>
      <c r="O48" s="38">
        <f t="shared" si="1"/>
        <v>0</v>
      </c>
      <c r="P48" s="7"/>
      <c r="R48" s="34"/>
      <c r="S48" s="34"/>
      <c r="T48" s="34"/>
    </row>
    <row r="49" spans="2:20">
      <c r="B49" s="134"/>
      <c r="C49" s="115"/>
      <c r="D49" s="59" t="s">
        <v>24</v>
      </c>
      <c r="E49" s="85">
        <f>ROUND(H49*0.5611,0)</f>
        <v>0</v>
      </c>
      <c r="F49" s="85">
        <f>ROUND(H49*0.7951,0)</f>
        <v>0</v>
      </c>
      <c r="G49" s="85">
        <f>ROUND(H49*0.8984,0)</f>
        <v>0</v>
      </c>
      <c r="H49" s="86"/>
      <c r="I49" s="85">
        <f>ROUND(H49*1.1015,0)</f>
        <v>0</v>
      </c>
      <c r="J49" s="85">
        <f>ROUND(H49*1.2048,0)</f>
        <v>0</v>
      </c>
      <c r="K49" s="85">
        <f>ROUND(H49*1.3046,0)</f>
        <v>0</v>
      </c>
      <c r="L49" s="87">
        <f>ROUND(H49*1.408,0)</f>
        <v>0</v>
      </c>
      <c r="M49" s="137"/>
      <c r="N49" s="37">
        <v>36</v>
      </c>
      <c r="O49" s="38">
        <f t="shared" si="1"/>
        <v>0</v>
      </c>
      <c r="P49" s="7"/>
      <c r="R49" s="34"/>
      <c r="S49" s="34"/>
      <c r="T49" s="34"/>
    </row>
    <row r="50" spans="2:20" ht="13.5" thickBot="1">
      <c r="B50" s="135"/>
      <c r="C50" s="139"/>
      <c r="D50" s="70" t="s">
        <v>25</v>
      </c>
      <c r="E50" s="85">
        <f>ROUND(H50*0.5612,0)</f>
        <v>0</v>
      </c>
      <c r="F50" s="85">
        <f>ROUND(H50*0.7937,0)</f>
        <v>0</v>
      </c>
      <c r="G50" s="85">
        <f>ROUND(H50*0.8982,0)</f>
        <v>0</v>
      </c>
      <c r="H50" s="86"/>
      <c r="I50" s="85">
        <f>ROUND(H50*1.1004,0)</f>
        <v>0</v>
      </c>
      <c r="J50" s="85">
        <f>ROUND(H50*1.2036,)</f>
        <v>0</v>
      </c>
      <c r="K50" s="85">
        <f>ROUND(H50*1.304,0)</f>
        <v>0</v>
      </c>
      <c r="L50" s="87">
        <f>ROUND(H50*1.4071,0)</f>
        <v>0</v>
      </c>
      <c r="M50" s="138"/>
      <c r="N50" s="37">
        <v>12</v>
      </c>
      <c r="O50" s="41">
        <f t="shared" si="1"/>
        <v>0</v>
      </c>
      <c r="P50" s="42"/>
      <c r="R50" s="34"/>
      <c r="S50" s="34"/>
      <c r="T50" s="34"/>
    </row>
    <row r="51" spans="2:20" ht="15" customHeight="1" thickBot="1">
      <c r="B51" s="140" t="s">
        <v>21</v>
      </c>
      <c r="C51" s="141"/>
      <c r="D51" s="142"/>
      <c r="E51" s="43"/>
      <c r="F51" s="44"/>
      <c r="G51" s="45"/>
      <c r="H51" s="45"/>
      <c r="I51" s="45"/>
      <c r="J51" s="45"/>
      <c r="K51" s="45"/>
      <c r="L51" s="46"/>
      <c r="M51" s="152">
        <f>SUM(N37:N50)</f>
        <v>30000</v>
      </c>
      <c r="N51" s="152"/>
      <c r="O51" s="92">
        <f>SUM(O37:O50)</f>
        <v>0</v>
      </c>
      <c r="P51" s="47" t="s">
        <v>64</v>
      </c>
    </row>
    <row r="52" spans="2:20" ht="12.75" customHeight="1">
      <c r="B52" s="21"/>
      <c r="C52" s="21"/>
      <c r="D52" s="1" t="s">
        <v>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9"/>
    </row>
    <row r="53" spans="2:20" ht="9" customHeight="1" thickBot="1">
      <c r="B53" s="21"/>
      <c r="C53" s="21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53" t="s">
        <v>26</v>
      </c>
      <c r="C54" s="154"/>
      <c r="D54" s="154"/>
      <c r="E54" s="155"/>
      <c r="F54" s="159" t="s">
        <v>84</v>
      </c>
      <c r="G54" s="160"/>
      <c r="H54" s="105" t="s">
        <v>92</v>
      </c>
      <c r="I54" s="106"/>
      <c r="J54" s="159" t="s">
        <v>75</v>
      </c>
      <c r="K54" s="163"/>
      <c r="L54" s="164"/>
      <c r="M54" s="23"/>
      <c r="N54" s="1"/>
      <c r="O54" s="1"/>
      <c r="P54" s="1"/>
    </row>
    <row r="55" spans="2:20" ht="22.5">
      <c r="B55" s="156"/>
      <c r="C55" s="157"/>
      <c r="D55" s="157"/>
      <c r="E55" s="158"/>
      <c r="F55" s="161"/>
      <c r="G55" s="162"/>
      <c r="H55" s="4"/>
      <c r="I55" s="5" t="s">
        <v>87</v>
      </c>
      <c r="J55" s="161"/>
      <c r="K55" s="165"/>
      <c r="L55" s="166"/>
      <c r="M55" s="23"/>
      <c r="N55" s="1"/>
      <c r="O55" s="1"/>
      <c r="P55" s="1"/>
    </row>
    <row r="56" spans="2:20" ht="13.5" customHeight="1">
      <c r="B56" s="178" t="s">
        <v>27</v>
      </c>
      <c r="C56" s="179" t="s">
        <v>28</v>
      </c>
      <c r="D56" s="71" t="s">
        <v>29</v>
      </c>
      <c r="E56" s="72"/>
      <c r="F56" s="196"/>
      <c r="G56" s="197"/>
      <c r="H56" s="198">
        <f>SUM(I56:I62)</f>
        <v>140</v>
      </c>
      <c r="I56" s="88">
        <v>30</v>
      </c>
      <c r="J56" s="183">
        <f t="shared" ref="J56:J62" si="2">F56*I56</f>
        <v>0</v>
      </c>
      <c r="K56" s="184"/>
      <c r="L56" s="185"/>
      <c r="M56" s="49"/>
      <c r="N56" s="1"/>
      <c r="O56" s="1"/>
      <c r="P56" s="1"/>
    </row>
    <row r="57" spans="2:20" ht="13.5" customHeight="1">
      <c r="B57" s="134"/>
      <c r="C57" s="180"/>
      <c r="D57" s="73" t="s">
        <v>65</v>
      </c>
      <c r="E57" s="74"/>
      <c r="F57" s="186"/>
      <c r="G57" s="187"/>
      <c r="H57" s="199"/>
      <c r="I57" s="89">
        <v>25</v>
      </c>
      <c r="J57" s="188">
        <f t="shared" si="2"/>
        <v>0</v>
      </c>
      <c r="K57" s="189"/>
      <c r="L57" s="190"/>
      <c r="M57" s="49"/>
      <c r="N57" s="1"/>
      <c r="O57" s="1"/>
      <c r="P57" s="1"/>
    </row>
    <row r="58" spans="2:20" ht="13.5" customHeight="1">
      <c r="B58" s="134"/>
      <c r="C58" s="180"/>
      <c r="D58" s="73" t="s">
        <v>14</v>
      </c>
      <c r="E58" s="74"/>
      <c r="F58" s="186"/>
      <c r="G58" s="187"/>
      <c r="H58" s="199"/>
      <c r="I58" s="89">
        <v>20</v>
      </c>
      <c r="J58" s="188">
        <f t="shared" si="2"/>
        <v>0</v>
      </c>
      <c r="K58" s="189"/>
      <c r="L58" s="190"/>
      <c r="M58" s="49"/>
      <c r="N58" s="1"/>
      <c r="O58" s="1"/>
      <c r="P58" s="1"/>
    </row>
    <row r="59" spans="2:20" ht="13.5" customHeight="1">
      <c r="B59" s="134"/>
      <c r="C59" s="104"/>
      <c r="D59" s="75" t="s">
        <v>31</v>
      </c>
      <c r="E59" s="76"/>
      <c r="F59" s="201"/>
      <c r="G59" s="202"/>
      <c r="H59" s="199"/>
      <c r="I59" s="90">
        <v>10</v>
      </c>
      <c r="J59" s="175">
        <f t="shared" si="2"/>
        <v>0</v>
      </c>
      <c r="K59" s="176"/>
      <c r="L59" s="177"/>
      <c r="M59" s="49"/>
      <c r="N59" s="1"/>
      <c r="O59" s="1"/>
      <c r="P59" s="1"/>
    </row>
    <row r="60" spans="2:20" ht="13.5" customHeight="1">
      <c r="B60" s="178" t="s">
        <v>32</v>
      </c>
      <c r="C60" s="179" t="s">
        <v>33</v>
      </c>
      <c r="D60" s="77" t="s">
        <v>30</v>
      </c>
      <c r="E60" s="78"/>
      <c r="F60" s="181"/>
      <c r="G60" s="182"/>
      <c r="H60" s="199"/>
      <c r="I60" s="88">
        <v>30</v>
      </c>
      <c r="J60" s="183">
        <f t="shared" si="2"/>
        <v>0</v>
      </c>
      <c r="K60" s="184"/>
      <c r="L60" s="185"/>
      <c r="M60" s="49"/>
      <c r="N60" s="1"/>
      <c r="O60" s="1"/>
      <c r="P60" s="1"/>
    </row>
    <row r="61" spans="2:20" ht="13.5" customHeight="1">
      <c r="B61" s="134"/>
      <c r="C61" s="180"/>
      <c r="D61" s="73" t="s">
        <v>14</v>
      </c>
      <c r="E61" s="74"/>
      <c r="F61" s="186"/>
      <c r="G61" s="187"/>
      <c r="H61" s="199"/>
      <c r="I61" s="89">
        <v>15</v>
      </c>
      <c r="J61" s="188">
        <f t="shared" si="2"/>
        <v>0</v>
      </c>
      <c r="K61" s="189"/>
      <c r="L61" s="190"/>
      <c r="M61" s="49"/>
      <c r="N61" s="1"/>
      <c r="O61" s="1"/>
      <c r="P61" s="1"/>
    </row>
    <row r="62" spans="2:20" ht="14.25" customHeight="1" thickBot="1">
      <c r="B62" s="151"/>
      <c r="C62" s="180"/>
      <c r="D62" s="79" t="s">
        <v>31</v>
      </c>
      <c r="E62" s="80"/>
      <c r="F62" s="191"/>
      <c r="G62" s="192"/>
      <c r="H62" s="200"/>
      <c r="I62" s="91">
        <v>10</v>
      </c>
      <c r="J62" s="193">
        <f t="shared" si="2"/>
        <v>0</v>
      </c>
      <c r="K62" s="194"/>
      <c r="L62" s="195"/>
      <c r="M62" s="49"/>
      <c r="N62" s="1"/>
      <c r="O62" s="1"/>
      <c r="P62" s="1"/>
    </row>
    <row r="63" spans="2:20" ht="15" customHeight="1" thickBot="1">
      <c r="B63" s="241" t="s">
        <v>21</v>
      </c>
      <c r="C63" s="242"/>
      <c r="D63" s="242"/>
      <c r="E63" s="51"/>
      <c r="F63" s="243"/>
      <c r="G63" s="244"/>
      <c r="H63" s="245">
        <f>SUM(I56:I62)</f>
        <v>140</v>
      </c>
      <c r="I63" s="245"/>
      <c r="J63" s="170">
        <f>SUM(J56:L62)</f>
        <v>0</v>
      </c>
      <c r="K63" s="170"/>
      <c r="L63" s="171"/>
      <c r="M63" s="52" t="s">
        <v>34</v>
      </c>
      <c r="N63" s="1"/>
      <c r="O63" s="1"/>
      <c r="P63" s="1"/>
    </row>
    <row r="64" spans="2:20" ht="13.5" thickBot="1">
      <c r="B64" s="7"/>
      <c r="C64" s="7"/>
      <c r="D64" s="7"/>
      <c r="E64" s="7"/>
      <c r="F64" s="49"/>
      <c r="G64" s="49"/>
      <c r="H64" s="53"/>
      <c r="I64" s="49"/>
      <c r="J64" s="49"/>
      <c r="K64" s="54"/>
      <c r="L64" s="53"/>
      <c r="M64" s="49"/>
      <c r="N64" s="55"/>
      <c r="O64" s="49"/>
      <c r="P64" s="49"/>
    </row>
    <row r="65" spans="2:16" ht="16.5" customHeight="1" thickBot="1">
      <c r="B65" s="172" t="s">
        <v>76</v>
      </c>
      <c r="C65" s="173"/>
      <c r="D65" s="173"/>
      <c r="E65" s="173"/>
      <c r="F65" s="173"/>
      <c r="G65" s="173"/>
      <c r="H65" s="173"/>
      <c r="I65" s="174"/>
      <c r="J65" s="147">
        <f>J33</f>
        <v>0</v>
      </c>
      <c r="K65" s="148"/>
      <c r="L65" s="149"/>
      <c r="M65" s="1"/>
      <c r="N65" s="55"/>
      <c r="O65" s="49"/>
      <c r="P65" s="49"/>
    </row>
    <row r="66" spans="2:16" ht="16.5" customHeight="1" thickBot="1">
      <c r="B66" s="172" t="s">
        <v>77</v>
      </c>
      <c r="C66" s="173"/>
      <c r="D66" s="173"/>
      <c r="E66" s="173"/>
      <c r="F66" s="173"/>
      <c r="G66" s="173"/>
      <c r="H66" s="173"/>
      <c r="I66" s="174"/>
      <c r="J66" s="147">
        <f>O51</f>
        <v>0</v>
      </c>
      <c r="K66" s="148"/>
      <c r="L66" s="149"/>
      <c r="M66" s="1"/>
      <c r="N66" s="55"/>
      <c r="O66" s="49"/>
      <c r="P66" s="49"/>
    </row>
    <row r="67" spans="2:16" ht="16.5" customHeight="1" thickBot="1">
      <c r="B67" s="172" t="s">
        <v>78</v>
      </c>
      <c r="C67" s="173"/>
      <c r="D67" s="173"/>
      <c r="E67" s="173"/>
      <c r="F67" s="173"/>
      <c r="G67" s="173"/>
      <c r="H67" s="173"/>
      <c r="I67" s="174"/>
      <c r="J67" s="147">
        <f>J63</f>
        <v>0</v>
      </c>
      <c r="K67" s="148"/>
      <c r="L67" s="149"/>
      <c r="M67" s="1"/>
      <c r="N67" s="55"/>
      <c r="O67" s="49"/>
      <c r="P67" s="49"/>
    </row>
    <row r="68" spans="2:16" ht="16.5" customHeight="1" thickBot="1">
      <c r="B68" s="172" t="s">
        <v>79</v>
      </c>
      <c r="C68" s="173"/>
      <c r="D68" s="173"/>
      <c r="E68" s="173"/>
      <c r="F68" s="173"/>
      <c r="G68" s="173"/>
      <c r="H68" s="173"/>
      <c r="I68" s="174"/>
      <c r="J68" s="147">
        <f>21200*25</f>
        <v>530000</v>
      </c>
      <c r="K68" s="148"/>
      <c r="L68" s="149"/>
      <c r="M68" s="81" t="s">
        <v>88</v>
      </c>
      <c r="N68" s="55"/>
      <c r="O68" s="1"/>
      <c r="P68" s="49"/>
    </row>
    <row r="69" spans="2:16" ht="16.5" customHeight="1" thickBot="1">
      <c r="B69" s="172" t="s">
        <v>80</v>
      </c>
      <c r="C69" s="173"/>
      <c r="D69" s="173"/>
      <c r="E69" s="173"/>
      <c r="F69" s="173"/>
      <c r="G69" s="173"/>
      <c r="H69" s="173"/>
      <c r="I69" s="174"/>
      <c r="J69" s="235">
        <v>0</v>
      </c>
      <c r="K69" s="236"/>
      <c r="L69" s="237"/>
      <c r="M69" s="81" t="s">
        <v>89</v>
      </c>
      <c r="N69" s="55"/>
      <c r="O69" s="1"/>
      <c r="P69" s="49"/>
    </row>
    <row r="70" spans="2:16" ht="16.5" customHeight="1" thickTop="1" thickBot="1">
      <c r="B70" s="172" t="s">
        <v>95</v>
      </c>
      <c r="C70" s="173"/>
      <c r="D70" s="173"/>
      <c r="E70" s="173"/>
      <c r="F70" s="173"/>
      <c r="G70" s="173"/>
      <c r="H70" s="173"/>
      <c r="I70" s="174"/>
      <c r="J70" s="238">
        <f>SUM(J65:L69)</f>
        <v>530000</v>
      </c>
      <c r="K70" s="239"/>
      <c r="L70" s="240"/>
      <c r="M70" s="56"/>
      <c r="N70" s="55"/>
      <c r="O70" s="1"/>
      <c r="P70" s="49"/>
    </row>
    <row r="71" spans="2:16" ht="16.5" hidden="1" customHeight="1" thickBot="1">
      <c r="B71" s="172" t="s">
        <v>81</v>
      </c>
      <c r="C71" s="173"/>
      <c r="D71" s="173"/>
      <c r="E71" s="173"/>
      <c r="F71" s="173"/>
      <c r="G71" s="173"/>
      <c r="H71" s="173"/>
      <c r="I71" s="174"/>
      <c r="J71" s="226">
        <f>ROUNDDOWN(J70*0.08,0)</f>
        <v>42400</v>
      </c>
      <c r="K71" s="227"/>
      <c r="L71" s="228"/>
      <c r="M71" s="56"/>
      <c r="N71" s="55"/>
      <c r="O71" s="1"/>
      <c r="P71" s="49"/>
    </row>
    <row r="72" spans="2:16" ht="16.5" hidden="1" customHeight="1" thickTop="1" thickBot="1">
      <c r="B72" s="229" t="s">
        <v>85</v>
      </c>
      <c r="C72" s="230"/>
      <c r="D72" s="230"/>
      <c r="E72" s="230"/>
      <c r="F72" s="230"/>
      <c r="G72" s="230"/>
      <c r="H72" s="230"/>
      <c r="I72" s="231"/>
      <c r="J72" s="232">
        <f>SUM(J70:L71)</f>
        <v>572400</v>
      </c>
      <c r="K72" s="233"/>
      <c r="L72" s="234"/>
      <c r="M72" s="1"/>
      <c r="N72" s="55"/>
      <c r="O72" s="49"/>
      <c r="P72" s="49"/>
    </row>
    <row r="73" spans="2:16" ht="67.5" customHeight="1">
      <c r="B73" s="203" t="s">
        <v>96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4"/>
      <c r="P73" s="204"/>
    </row>
  </sheetData>
  <sheetProtection algorithmName="SHA-512" hashValue="ygIg8lykTHiKueM5Nipj2cVWoPnyBl3fTlvDmY0pN+Ejlqh6CMb8PQGdXlU7DC/YJNngHlNpEmnXZYcM1ldE7Q==" saltValue="Npi32Deb1NUz+F+noNu71g==" spinCount="100000" sheet="1" objects="1" scenarios="1" formatCells="0" formatColumns="0" formatRows="0" insertColumns="0" insertRows="0" insertHyperlinks="0" deleteColumns="0" deleteRows="0" sort="0" pivotTables="0"/>
  <mergeCells count="131">
    <mergeCell ref="B73:P73"/>
    <mergeCell ref="N3:P4"/>
    <mergeCell ref="O6:P7"/>
    <mergeCell ref="O15:P16"/>
    <mergeCell ref="O18:P20"/>
    <mergeCell ref="O26:P27"/>
    <mergeCell ref="N33:P33"/>
    <mergeCell ref="B71:I71"/>
    <mergeCell ref="J71:L71"/>
    <mergeCell ref="B72:I72"/>
    <mergeCell ref="J72:L72"/>
    <mergeCell ref="B69:I69"/>
    <mergeCell ref="J69:L69"/>
    <mergeCell ref="B70:I70"/>
    <mergeCell ref="J70:L70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51:D51"/>
    <mergeCell ref="M51:N51"/>
    <mergeCell ref="B54:E55"/>
    <mergeCell ref="F54:G55"/>
    <mergeCell ref="H54:I54"/>
    <mergeCell ref="J54:L55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J31:L31"/>
    <mergeCell ref="F32:G32"/>
    <mergeCell ref="J32:L32"/>
    <mergeCell ref="B33:E33"/>
    <mergeCell ref="F33:G33"/>
    <mergeCell ref="H33:I33"/>
    <mergeCell ref="J33:L33"/>
    <mergeCell ref="C21:C32"/>
    <mergeCell ref="B5:B32"/>
    <mergeCell ref="J27:L27"/>
    <mergeCell ref="F28:G28"/>
    <mergeCell ref="J28:L28"/>
    <mergeCell ref="J29:L29"/>
    <mergeCell ref="F30:G30"/>
    <mergeCell ref="J30:L30"/>
    <mergeCell ref="J23:L23"/>
    <mergeCell ref="F24:G24"/>
    <mergeCell ref="J24:L24"/>
    <mergeCell ref="J25:L25"/>
    <mergeCell ref="F26:G26"/>
    <mergeCell ref="J26:L26"/>
    <mergeCell ref="F19:G19"/>
    <mergeCell ref="J19:L19"/>
    <mergeCell ref="F20:G20"/>
    <mergeCell ref="J20:L20"/>
    <mergeCell ref="J21:L21"/>
    <mergeCell ref="F22:G22"/>
    <mergeCell ref="J22:L22"/>
    <mergeCell ref="J17:L17"/>
    <mergeCell ref="F18:G18"/>
    <mergeCell ref="J18:L18"/>
    <mergeCell ref="F13:G13"/>
    <mergeCell ref="J13:L13"/>
    <mergeCell ref="F14:G14"/>
    <mergeCell ref="J14:L14"/>
    <mergeCell ref="F15:G15"/>
    <mergeCell ref="J15:L15"/>
    <mergeCell ref="J3:L4"/>
    <mergeCell ref="J8:L8"/>
    <mergeCell ref="C9:C20"/>
    <mergeCell ref="F9:G9"/>
    <mergeCell ref="J9:L9"/>
    <mergeCell ref="F10:G10"/>
    <mergeCell ref="J10:L10"/>
    <mergeCell ref="F11:G11"/>
    <mergeCell ref="J11:L11"/>
    <mergeCell ref="F12:G12"/>
    <mergeCell ref="J12:L12"/>
    <mergeCell ref="C5:C8"/>
    <mergeCell ref="F5:G5"/>
    <mergeCell ref="H5:H32"/>
    <mergeCell ref="J5:L5"/>
    <mergeCell ref="F6:G6"/>
    <mergeCell ref="J6:L6"/>
    <mergeCell ref="F7:G7"/>
    <mergeCell ref="J7:L7"/>
    <mergeCell ref="F31:G31"/>
    <mergeCell ref="F8:G8"/>
    <mergeCell ref="F16:G16"/>
    <mergeCell ref="J16:L16"/>
    <mergeCell ref="F17:G17"/>
    <mergeCell ref="F29:G29"/>
    <mergeCell ref="F27:G27"/>
    <mergeCell ref="F25:G25"/>
    <mergeCell ref="F23:G23"/>
    <mergeCell ref="F21:G21"/>
    <mergeCell ref="B3:D4"/>
    <mergeCell ref="E3:E4"/>
    <mergeCell ref="F3:G4"/>
    <mergeCell ref="H3:I3"/>
  </mergeCells>
  <phoneticPr fontId="3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６北多摩西部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2019-02-04T08:19:49Z</cp:lastPrinted>
  <dcterms:created xsi:type="dcterms:W3CDTF">2018-02-23T02:09:25Z</dcterms:created>
  <dcterms:modified xsi:type="dcterms:W3CDTF">2019-02-28T06:06:29Z</dcterms:modified>
</cp:coreProperties>
</file>