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\閲覧用\●閲覧_農業振興課\苗木事業\31 掘取運搬委託 8件(8地区)入札\"/>
    </mc:Choice>
  </mc:AlternateContent>
  <bookViews>
    <workbookView xWindow="0" yWindow="0" windowWidth="23220" windowHeight="9585"/>
  </bookViews>
  <sheets>
    <sheet name="６北多摩西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K50" i="1"/>
  <c r="J50" i="1"/>
  <c r="I50" i="1"/>
  <c r="G50" i="1"/>
  <c r="F50" i="1"/>
  <c r="E50" i="1"/>
  <c r="L49" i="1"/>
  <c r="K49" i="1"/>
  <c r="J49" i="1"/>
  <c r="I49" i="1"/>
  <c r="G49" i="1"/>
  <c r="F49" i="1"/>
  <c r="E49" i="1"/>
  <c r="L48" i="1"/>
  <c r="K48" i="1"/>
  <c r="J48" i="1"/>
  <c r="I48" i="1"/>
  <c r="G48" i="1"/>
  <c r="F48" i="1"/>
  <c r="E48" i="1"/>
  <c r="L47" i="1"/>
  <c r="K47" i="1"/>
  <c r="J47" i="1"/>
  <c r="I47" i="1"/>
  <c r="G47" i="1"/>
  <c r="F47" i="1"/>
  <c r="E47" i="1"/>
  <c r="L46" i="1"/>
  <c r="K46" i="1"/>
  <c r="J46" i="1"/>
  <c r="I46" i="1"/>
  <c r="G46" i="1"/>
  <c r="F46" i="1"/>
  <c r="E46" i="1"/>
  <c r="L45" i="1"/>
  <c r="K45" i="1"/>
  <c r="J45" i="1"/>
  <c r="I45" i="1"/>
  <c r="G45" i="1"/>
  <c r="F45" i="1"/>
  <c r="E45" i="1"/>
  <c r="L44" i="1"/>
  <c r="K44" i="1"/>
  <c r="J44" i="1"/>
  <c r="I44" i="1"/>
  <c r="G44" i="1"/>
  <c r="F44" i="1"/>
  <c r="E44" i="1"/>
  <c r="L43" i="1"/>
  <c r="K43" i="1"/>
  <c r="J43" i="1"/>
  <c r="I43" i="1"/>
  <c r="G43" i="1"/>
  <c r="F43" i="1"/>
  <c r="E43" i="1"/>
  <c r="L42" i="1"/>
  <c r="K42" i="1"/>
  <c r="J42" i="1"/>
  <c r="I42" i="1"/>
  <c r="G42" i="1"/>
  <c r="F42" i="1"/>
  <c r="E42" i="1"/>
  <c r="L41" i="1"/>
  <c r="K41" i="1"/>
  <c r="J41" i="1"/>
  <c r="I41" i="1"/>
  <c r="G41" i="1"/>
  <c r="F41" i="1"/>
  <c r="E41" i="1"/>
  <c r="L40" i="1"/>
  <c r="K40" i="1"/>
  <c r="J40" i="1"/>
  <c r="I40" i="1"/>
  <c r="G40" i="1"/>
  <c r="F40" i="1"/>
  <c r="E40" i="1"/>
  <c r="L39" i="1"/>
  <c r="K39" i="1"/>
  <c r="J39" i="1"/>
  <c r="I39" i="1"/>
  <c r="G39" i="1"/>
  <c r="F39" i="1"/>
  <c r="E39" i="1"/>
  <c r="L38" i="1"/>
  <c r="K38" i="1"/>
  <c r="J38" i="1"/>
  <c r="I38" i="1"/>
  <c r="G38" i="1"/>
  <c r="F38" i="1"/>
  <c r="E38" i="1"/>
  <c r="L37" i="1"/>
  <c r="K37" i="1"/>
  <c r="J37" i="1"/>
  <c r="I37" i="1"/>
  <c r="G37" i="1"/>
  <c r="F37" i="1"/>
  <c r="E37" i="1"/>
  <c r="J13" i="1" l="1"/>
  <c r="J68" i="1" l="1"/>
  <c r="H33" i="1"/>
  <c r="H63" i="1" l="1"/>
  <c r="J62" i="1"/>
  <c r="J61" i="1"/>
  <c r="J60" i="1"/>
  <c r="J59" i="1"/>
  <c r="J58" i="1"/>
  <c r="J57" i="1"/>
  <c r="J56" i="1"/>
  <c r="H56" i="1"/>
  <c r="M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M37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6" i="1"/>
  <c r="J5" i="1"/>
  <c r="H5" i="1"/>
  <c r="O51" i="1" l="1"/>
  <c r="J66" i="1" s="1"/>
  <c r="J63" i="1"/>
  <c r="J67" i="1" s="1"/>
  <c r="J33" i="1"/>
  <c r="J65" i="1" s="1"/>
  <c r="J70" i="1" l="1"/>
  <c r="J71" i="1" s="1"/>
  <c r="J72" i="1" s="1"/>
</calcChain>
</file>

<file path=xl/sharedStrings.xml><?xml version="1.0" encoding="utf-8"?>
<sst xmlns="http://schemas.openxmlformats.org/spreadsheetml/2006/main" count="148" uniqueCount="97">
  <si>
    <t>作業･樹種区分</t>
    <rPh sb="0" eb="2">
      <t>サギョウ</t>
    </rPh>
    <rPh sb="3" eb="5">
      <t>ジュシュ</t>
    </rPh>
    <rPh sb="5" eb="7">
      <t>クブン</t>
    </rPh>
    <phoneticPr fontId="3"/>
  </si>
  <si>
    <t>根巻</t>
    <rPh sb="0" eb="1">
      <t>ネ</t>
    </rPh>
    <rPh sb="1" eb="2">
      <t>マキ</t>
    </rPh>
    <phoneticPr fontId="3"/>
  </si>
  <si>
    <t>樹種区分一覧</t>
    <rPh sb="0" eb="2">
      <t>ジュシュ</t>
    </rPh>
    <rPh sb="2" eb="4">
      <t>クブン</t>
    </rPh>
    <rPh sb="4" eb="6">
      <t>イチラン</t>
    </rPh>
    <phoneticPr fontId="3"/>
  </si>
  <si>
    <t>掘　　　　取</t>
    <rPh sb="0" eb="6">
      <t>ホリトリ</t>
    </rPh>
    <phoneticPr fontId="3"/>
  </si>
  <si>
    <t>Ⅰ類</t>
    <rPh sb="1" eb="2">
      <t>ルイ</t>
    </rPh>
    <phoneticPr fontId="3"/>
  </si>
  <si>
    <t>無</t>
    <rPh sb="0" eb="1">
      <t>ム</t>
    </rPh>
    <phoneticPr fontId="3"/>
  </si>
  <si>
    <t>有</t>
    <rPh sb="0" eb="1">
      <t>アリ</t>
    </rPh>
    <phoneticPr fontId="3"/>
  </si>
  <si>
    <t>常緑低木</t>
    <rPh sb="0" eb="2">
      <t>ジョウリョク</t>
    </rPh>
    <rPh sb="2" eb="4">
      <t>テイボク</t>
    </rPh>
    <phoneticPr fontId="3"/>
  </si>
  <si>
    <t>50～79</t>
    <phoneticPr fontId="3"/>
  </si>
  <si>
    <t>Ⅱ類</t>
    <rPh sb="1" eb="2">
      <t>ルイ</t>
    </rPh>
    <phoneticPr fontId="3"/>
  </si>
  <si>
    <t>Ｈ30～49</t>
    <phoneticPr fontId="3"/>
  </si>
  <si>
    <t>30～49</t>
    <phoneticPr fontId="3"/>
  </si>
  <si>
    <t>落葉低木</t>
    <rPh sb="0" eb="2">
      <t>ラクヨウ</t>
    </rPh>
    <rPh sb="2" eb="4">
      <t>テイボク</t>
    </rPh>
    <phoneticPr fontId="3"/>
  </si>
  <si>
    <t>100～149</t>
    <phoneticPr fontId="3"/>
  </si>
  <si>
    <t>200～249</t>
    <phoneticPr fontId="3"/>
  </si>
  <si>
    <t>Ⅲ類</t>
    <rPh sb="1" eb="2">
      <t>ルイ</t>
    </rPh>
    <phoneticPr fontId="3"/>
  </si>
  <si>
    <t>常緑高木</t>
    <rPh sb="0" eb="2">
      <t>ジョウリョク</t>
    </rPh>
    <rPh sb="2" eb="4">
      <t>コウボク</t>
    </rPh>
    <phoneticPr fontId="3"/>
  </si>
  <si>
    <t>9～11</t>
    <phoneticPr fontId="3"/>
  </si>
  <si>
    <t>落葉高木</t>
    <rPh sb="0" eb="2">
      <t>ラクヨウ</t>
    </rPh>
    <rPh sb="2" eb="4">
      <t>コウボク</t>
    </rPh>
    <phoneticPr fontId="3"/>
  </si>
  <si>
    <t>・ケヤキ（ムサシノ含む）</t>
    <rPh sb="9" eb="10">
      <t>フク</t>
    </rPh>
    <phoneticPr fontId="3"/>
  </si>
  <si>
    <t>・サクラ（ソメイヨシノ、山桜、天の川)</t>
    <rPh sb="12" eb="14">
      <t>ヤマザクラ</t>
    </rPh>
    <rPh sb="15" eb="16">
      <t>アマ</t>
    </rPh>
    <rPh sb="17" eb="18">
      <t>ガワ</t>
    </rPh>
    <phoneticPr fontId="3"/>
  </si>
  <si>
    <t>合　計</t>
    <rPh sb="0" eb="1">
      <t>ゴウ</t>
    </rPh>
    <rPh sb="2" eb="3">
      <t>ケイ</t>
    </rPh>
    <phoneticPr fontId="3"/>
  </si>
  <si>
    <t>運　搬</t>
    <rPh sb="0" eb="1">
      <t>ウン</t>
    </rPh>
    <rPh sb="2" eb="3">
      <t>ハン</t>
    </rPh>
    <phoneticPr fontId="3"/>
  </si>
  <si>
    <t>6～8</t>
    <phoneticPr fontId="3"/>
  </si>
  <si>
    <t>15～17</t>
    <phoneticPr fontId="3"/>
  </si>
  <si>
    <t>18～19</t>
    <phoneticPr fontId="3"/>
  </si>
  <si>
    <t>作業内容・規格</t>
    <rPh sb="0" eb="2">
      <t>サギョウ</t>
    </rPh>
    <rPh sb="2" eb="4">
      <t>ナイヨウ</t>
    </rPh>
    <rPh sb="5" eb="7">
      <t>キカク</t>
    </rPh>
    <phoneticPr fontId="3"/>
  </si>
  <si>
    <t>剪定</t>
    <rPh sb="0" eb="2">
      <t>センテイ</t>
    </rPh>
    <phoneticPr fontId="3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</si>
  <si>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3"/>
  </si>
  <si>
    <t>Ｈ 　～ 149</t>
    <phoneticPr fontId="3"/>
  </si>
  <si>
    <t>150～199</t>
    <phoneticPr fontId="3"/>
  </si>
  <si>
    <t>250～299</t>
    <phoneticPr fontId="3"/>
  </si>
  <si>
    <t>摘葉</t>
    <rPh sb="0" eb="1">
      <t>ツ</t>
    </rPh>
    <rPh sb="1" eb="2">
      <t>ハ</t>
    </rPh>
    <phoneticPr fontId="3"/>
  </si>
  <si>
    <t>中木
高木</t>
    <rPh sb="0" eb="1">
      <t>チュウ</t>
    </rPh>
    <rPh sb="1" eb="2">
      <t>ボク</t>
    </rPh>
    <rPh sb="3" eb="5">
      <t>コウボク</t>
    </rPh>
    <phoneticPr fontId="3"/>
  </si>
  <si>
    <t>※３</t>
    <phoneticPr fontId="3"/>
  </si>
  <si>
    <t>Ｈ 30～49</t>
    <phoneticPr fontId="3"/>
  </si>
  <si>
    <t>30～49</t>
    <phoneticPr fontId="3"/>
  </si>
  <si>
    <t>50～79</t>
    <phoneticPr fontId="3"/>
  </si>
  <si>
    <t>50～79</t>
    <phoneticPr fontId="3"/>
  </si>
  <si>
    <t>Ｈ30～49</t>
    <phoneticPr fontId="3"/>
  </si>
  <si>
    <t>80～99</t>
    <phoneticPr fontId="3"/>
  </si>
  <si>
    <t>80～99</t>
    <phoneticPr fontId="3"/>
  </si>
  <si>
    <t>100～149</t>
    <phoneticPr fontId="3"/>
  </si>
  <si>
    <t>100～149</t>
    <phoneticPr fontId="3"/>
  </si>
  <si>
    <t>150～199</t>
    <phoneticPr fontId="3"/>
  </si>
  <si>
    <t>150～199</t>
    <phoneticPr fontId="3"/>
  </si>
  <si>
    <t>200～249</t>
    <phoneticPr fontId="3"/>
  </si>
  <si>
    <t>200～249</t>
    <phoneticPr fontId="3"/>
  </si>
  <si>
    <t>Ｃ 3～5</t>
    <phoneticPr fontId="3"/>
  </si>
  <si>
    <t xml:space="preserve"> 3～5</t>
    <phoneticPr fontId="3"/>
  </si>
  <si>
    <t>6～8</t>
    <phoneticPr fontId="3"/>
  </si>
  <si>
    <t>6～8</t>
    <phoneticPr fontId="3"/>
  </si>
  <si>
    <t>9～11</t>
    <phoneticPr fontId="3"/>
  </si>
  <si>
    <t>9～11</t>
    <phoneticPr fontId="3"/>
  </si>
  <si>
    <t>12～14</t>
    <phoneticPr fontId="3"/>
  </si>
  <si>
    <t>12～14</t>
    <phoneticPr fontId="3"/>
  </si>
  <si>
    <t>15～17</t>
    <phoneticPr fontId="3"/>
  </si>
  <si>
    <t>15～17</t>
    <phoneticPr fontId="3"/>
  </si>
  <si>
    <t>18～19</t>
    <phoneticPr fontId="3"/>
  </si>
  <si>
    <t>18～19</t>
    <phoneticPr fontId="3"/>
  </si>
  <si>
    <t>※1</t>
    <phoneticPr fontId="3"/>
  </si>
  <si>
    <t>80～99</t>
    <phoneticPr fontId="3"/>
  </si>
  <si>
    <t>Ｃ 3～5</t>
    <phoneticPr fontId="3"/>
  </si>
  <si>
    <t>12～14</t>
    <phoneticPr fontId="3"/>
  </si>
  <si>
    <t>※２</t>
    <phoneticPr fontId="3"/>
  </si>
  <si>
    <t>150～199</t>
    <phoneticPr fontId="3"/>
  </si>
  <si>
    <t>・さつき、つつじ（おおむら、ひらど、くるめ、くるめ(トコナツ)）</t>
    <phoneticPr fontId="2"/>
  </si>
  <si>
    <t>（Ⅰ類を除く）</t>
    <rPh sb="2" eb="3">
      <t>ルイ</t>
    </rPh>
    <rPh sb="4" eb="5">
      <t>ノゾ</t>
    </rPh>
    <phoneticPr fontId="2"/>
  </si>
  <si>
    <t>常緑中木</t>
    <rPh sb="0" eb="2">
      <t>ジョウリョク</t>
    </rPh>
    <rPh sb="2" eb="3">
      <t>チュウ</t>
    </rPh>
    <rPh sb="3" eb="4">
      <t>キ</t>
    </rPh>
    <phoneticPr fontId="3"/>
  </si>
  <si>
    <t>落葉中木</t>
    <rPh sb="0" eb="2">
      <t>ラクヨウ</t>
    </rPh>
    <rPh sb="2" eb="3">
      <t>チュウ</t>
    </rPh>
    <rPh sb="3" eb="4">
      <t>キ</t>
    </rPh>
    <phoneticPr fontId="3"/>
  </si>
  <si>
    <t>・ソヨゴ（ハラシマ）、常緑ヤマボウシ(月光）</t>
    <phoneticPr fontId="2"/>
  </si>
  <si>
    <t>・ハナミズキ、ヤマモミジ、イロハモミジ（司シルエット）、ナツツバキ、ヤマボウシ</t>
    <phoneticPr fontId="2"/>
  </si>
  <si>
    <t>・シラカシ</t>
  </si>
  <si>
    <t>・マテバシイ</t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</si>
  <si>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3"/>
  </si>
  <si>
    <t>金額 （円）
（消費税別）</t>
    <rPh sb="0" eb="2">
      <t>キンガク</t>
    </rPh>
    <rPh sb="4" eb="5">
      <t>エン</t>
    </rPh>
    <phoneticPr fontId="3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</si>
  <si>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3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</si>
  <si>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3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</si>
  <si>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3"/>
  </si>
  <si>
    <t>運搬基本費　（円)</t>
    <rPh sb="0" eb="2">
      <t>ウンパン</t>
    </rPh>
    <rPh sb="2" eb="4">
      <t>キホン</t>
    </rPh>
    <rPh sb="4" eb="5">
      <t>ヒ</t>
    </rPh>
    <phoneticPr fontId="3"/>
  </si>
  <si>
    <t>海上輸送費 （円）</t>
    <rPh sb="0" eb="2">
      <t>カイジョウ</t>
    </rPh>
    <rPh sb="2" eb="5">
      <t>ユソウヒ</t>
    </rPh>
    <phoneticPr fontId="3"/>
  </si>
  <si>
    <t>消費税及び地方消費税額 （８％）（円）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</si>
  <si>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3"/>
  </si>
  <si>
    <t>10km</t>
    <phoneticPr fontId="2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</si>
  <si>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3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</si>
  <si>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3"/>
  </si>
  <si>
    <t>想定数量内訳</t>
    <rPh sb="0" eb="2">
      <t>ソウテイ</t>
    </rPh>
    <rPh sb="2" eb="4">
      <t>スウリョウ</t>
    </rPh>
    <rPh sb="4" eb="6">
      <t>ウチワケ</t>
    </rPh>
    <phoneticPr fontId="2"/>
  </si>
  <si>
    <t>想定数量
内訳</t>
    <rPh sb="0" eb="2">
      <t>ソウテイ</t>
    </rPh>
    <rPh sb="2" eb="4">
      <t>スウリョウ</t>
    </rPh>
    <rPh sb="5" eb="7">
      <t>ウチワケ</t>
    </rPh>
    <phoneticPr fontId="2"/>
  </si>
  <si>
    <r>
      <t>運搬基本費：21,200円×</t>
    </r>
    <r>
      <rPr>
        <sz val="10"/>
        <color rgb="FFFF0000"/>
        <rFont val="ＭＳ Ｐ明朝"/>
        <family val="1"/>
        <charset val="128"/>
      </rPr>
      <t>２５</t>
    </r>
    <r>
      <rPr>
        <sz val="10"/>
        <color theme="1"/>
        <rFont val="ＭＳ Ｐ明朝"/>
        <family val="1"/>
        <charset val="128"/>
      </rPr>
      <t>回　を想定する</t>
    </r>
    <rPh sb="0" eb="2">
      <t>ウンパン</t>
    </rPh>
    <rPh sb="2" eb="4">
      <t>キホン</t>
    </rPh>
    <rPh sb="4" eb="5">
      <t>ヒ</t>
    </rPh>
    <rPh sb="12" eb="13">
      <t>エン</t>
    </rPh>
    <rPh sb="16" eb="17">
      <t>カイ</t>
    </rPh>
    <rPh sb="19" eb="21">
      <t>ソウテイ</t>
    </rPh>
    <phoneticPr fontId="4"/>
  </si>
  <si>
    <r>
      <t>海上輸送費（見込額）：100,000円×</t>
    </r>
    <r>
      <rPr>
        <sz val="10.5"/>
        <color rgb="FFFF0000"/>
        <rFont val="ＭＳ Ｐ明朝"/>
        <family val="1"/>
        <charset val="128"/>
      </rPr>
      <t>０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ミコミ</t>
    </rPh>
    <rPh sb="8" eb="9">
      <t>ガク</t>
    </rPh>
    <rPh sb="18" eb="19">
      <t>エン</t>
    </rPh>
    <rPh sb="21" eb="22">
      <t>カイ</t>
    </rPh>
    <phoneticPr fontId="4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</si>
  <si>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3"/>
  </si>
  <si>
    <t>平成３１年度　　想定数量及び金額内訳</t>
    <rPh sb="8" eb="10">
      <t>ソウテイ</t>
    </rPh>
    <rPh sb="10" eb="12">
      <t>スウリョウ</t>
    </rPh>
    <rPh sb="16" eb="18">
      <t>ウチワケ</t>
    </rPh>
    <phoneticPr fontId="3"/>
  </si>
  <si>
    <t>想定数量(本数）</t>
    <rPh sb="0" eb="2">
      <t>ソウテイ</t>
    </rPh>
    <rPh sb="2" eb="4">
      <t>スウリョウ</t>
    </rPh>
    <rPh sb="5" eb="7">
      <t>ホンスウ</t>
    </rPh>
    <phoneticPr fontId="3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</si>
  <si>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3"/>
  </si>
  <si>
    <t>６　北多摩西部</t>
    <rPh sb="2" eb="3">
      <t>キタ</t>
    </rPh>
    <rPh sb="3" eb="5">
      <t>タマ</t>
    </rPh>
    <rPh sb="5" eb="7">
      <t>セイブ</t>
    </rPh>
    <phoneticPr fontId="2"/>
  </si>
  <si>
    <t>予定推定総金額（税抜） （円）</t>
    <rPh sb="0" eb="2">
      <t>ヨテイ</t>
    </rPh>
    <rPh sb="2" eb="4">
      <t>スイテイ</t>
    </rPh>
    <rPh sb="4" eb="5">
      <t>ソウ</t>
    </rPh>
    <rPh sb="5" eb="7">
      <t>キンガク</t>
    </rPh>
    <rPh sb="8" eb="9">
      <t>ゼイ</t>
    </rPh>
    <rPh sb="9" eb="10">
      <t>ヌキ</t>
    </rPh>
    <phoneticPr fontId="3"/>
  </si>
  <si>
    <t xml:space="preserve">
注）掘取単価・運搬単価・作業単価は、整数にて「青色網掛けのセル」の箇所を全て入力すること（距離別単価、網掛部等が自動で計算される）。
    規格毎の想定数量は想定の本数であり、実際の数量（本数）は作業指示毎に示す。
 　 運搬基本費は、１回当たり21,200円を計上する（実施する回数は作業指示毎となる）。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</si>
</sst>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;[Red]\-#,##0\ 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  <fill>
      <patternFill patternType="gray0625">
        <bgColor theme="0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6" fillId="0" borderId="0" xfId="1" applyFont="1" applyProtection="1">
      <protection locked="0"/>
    </xf>
    <xf numFmtId="38" fontId="6" fillId="0" borderId="0" xfId="2" applyFont="1" applyProtection="1">
      <protection locked="0"/>
    </xf>
    <xf numFmtId="38" fontId="6" fillId="0" borderId="0" xfId="2" applyFont="1" applyBorder="1" applyAlignment="1" applyProtection="1">
      <alignment horizontal="center" vertical="center" wrapText="1"/>
      <protection locked="0"/>
    </xf>
    <xf numFmtId="38" fontId="6" fillId="0" borderId="10" xfId="2" applyFont="1" applyBorder="1" applyAlignment="1" applyProtection="1">
      <alignment horizontal="center" vertical="center" wrapText="1"/>
      <protection locked="0"/>
    </xf>
    <xf numFmtId="38" fontId="8" fillId="0" borderId="12" xfId="2" applyFont="1" applyBorder="1" applyAlignment="1" applyProtection="1">
      <alignment horizontal="center" vertical="center" wrapText="1"/>
      <protection locked="0"/>
    </xf>
    <xf numFmtId="177" fontId="6" fillId="0" borderId="16" xfId="2" applyNumberFormat="1" applyFont="1" applyFill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0" fontId="7" fillId="0" borderId="28" xfId="1" applyFont="1" applyBorder="1" applyAlignment="1" applyProtection="1">
      <alignment vertical="center"/>
      <protection locked="0"/>
    </xf>
    <xf numFmtId="177" fontId="6" fillId="0" borderId="23" xfId="2" applyNumberFormat="1" applyFont="1" applyFill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  <protection locked="0"/>
    </xf>
    <xf numFmtId="177" fontId="6" fillId="0" borderId="30" xfId="2" applyNumberFormat="1" applyFont="1" applyFill="1" applyBorder="1" applyAlignment="1" applyProtection="1">
      <alignment vertical="center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38" fontId="7" fillId="0" borderId="28" xfId="2" applyFont="1" applyBorder="1" applyProtection="1">
      <protection locked="0"/>
    </xf>
    <xf numFmtId="177" fontId="6" fillId="0" borderId="40" xfId="2" applyNumberFormat="1" applyFont="1" applyFill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 textRotation="255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top"/>
      <protection locked="0"/>
    </xf>
    <xf numFmtId="38" fontId="6" fillId="0" borderId="51" xfId="2" applyFont="1" applyBorder="1" applyAlignment="1" applyProtection="1">
      <alignment horizontal="center" vertical="center"/>
      <protection locked="0"/>
    </xf>
    <xf numFmtId="38" fontId="6" fillId="0" borderId="52" xfId="2" applyFont="1" applyBorder="1" applyAlignment="1" applyProtection="1">
      <alignment horizontal="center" vertical="center"/>
      <protection locked="0"/>
    </xf>
    <xf numFmtId="38" fontId="6" fillId="0" borderId="53" xfId="2" applyFont="1" applyBorder="1" applyAlignment="1" applyProtection="1">
      <alignment horizontal="center" vertical="center"/>
      <protection locked="0"/>
    </xf>
    <xf numFmtId="38" fontId="6" fillId="0" borderId="10" xfId="2" applyFont="1" applyFill="1" applyBorder="1" applyAlignment="1" applyProtection="1">
      <alignment horizontal="center" vertical="center"/>
      <protection locked="0"/>
    </xf>
    <xf numFmtId="38" fontId="6" fillId="0" borderId="54" xfId="2" applyFont="1" applyBorder="1" applyAlignment="1" applyProtection="1">
      <alignment horizontal="center" vertical="center"/>
      <protection locked="0"/>
    </xf>
    <xf numFmtId="176" fontId="6" fillId="0" borderId="18" xfId="2" applyNumberFormat="1" applyFont="1" applyBorder="1" applyAlignment="1" applyProtection="1">
      <alignment vertical="center"/>
    </xf>
    <xf numFmtId="176" fontId="6" fillId="0" borderId="57" xfId="1" applyNumberFormat="1" applyFont="1" applyBorder="1" applyAlignment="1" applyProtection="1">
      <alignment vertical="center"/>
    </xf>
    <xf numFmtId="38" fontId="6" fillId="0" borderId="0" xfId="3" applyFont="1" applyAlignment="1" applyProtection="1">
      <protection locked="0"/>
    </xf>
    <xf numFmtId="176" fontId="6" fillId="0" borderId="29" xfId="2" applyNumberFormat="1" applyFont="1" applyBorder="1" applyAlignment="1" applyProtection="1">
      <alignment vertical="center"/>
    </xf>
    <xf numFmtId="176" fontId="6" fillId="0" borderId="59" xfId="1" applyNumberFormat="1" applyFont="1" applyBorder="1" applyAlignment="1" applyProtection="1">
      <alignment vertical="center"/>
    </xf>
    <xf numFmtId="176" fontId="6" fillId="0" borderId="22" xfId="2" applyNumberFormat="1" applyFont="1" applyBorder="1" applyAlignment="1" applyProtection="1">
      <alignment vertical="center"/>
    </xf>
    <xf numFmtId="176" fontId="6" fillId="0" borderId="26" xfId="1" applyNumberFormat="1" applyFont="1" applyBorder="1" applyAlignment="1" applyProtection="1">
      <alignment vertical="center"/>
    </xf>
    <xf numFmtId="176" fontId="6" fillId="0" borderId="57" xfId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63" xfId="1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/>
      <protection locked="0"/>
    </xf>
    <xf numFmtId="0" fontId="6" fillId="0" borderId="44" xfId="1" applyFont="1" applyFill="1" applyBorder="1" applyAlignment="1" applyProtection="1">
      <alignment vertical="center"/>
      <protection locked="0"/>
    </xf>
    <xf numFmtId="0" fontId="6" fillId="0" borderId="42" xfId="1" applyFont="1" applyFill="1" applyBorder="1" applyAlignment="1" applyProtection="1">
      <alignment vertical="center"/>
      <protection locked="0"/>
    </xf>
    <xf numFmtId="38" fontId="6" fillId="0" borderId="42" xfId="2" applyFont="1" applyFill="1" applyBorder="1" applyAlignment="1" applyProtection="1">
      <alignment vertical="center"/>
      <protection locked="0"/>
    </xf>
    <xf numFmtId="38" fontId="6" fillId="0" borderId="43" xfId="2" applyFont="1" applyFill="1" applyBorder="1" applyAlignment="1" applyProtection="1">
      <alignment vertical="center"/>
      <protection locked="0"/>
    </xf>
    <xf numFmtId="38" fontId="10" fillId="0" borderId="0" xfId="2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38" fontId="6" fillId="0" borderId="0" xfId="2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43" xfId="1" applyFont="1" applyBorder="1" applyProtection="1">
      <protection locked="0"/>
    </xf>
    <xf numFmtId="38" fontId="10" fillId="0" borderId="0" xfId="2" applyFont="1" applyBorder="1" applyAlignment="1" applyProtection="1">
      <alignment vertical="center"/>
      <protection locked="0"/>
    </xf>
    <xf numFmtId="38" fontId="6" fillId="0" borderId="0" xfId="2" applyFont="1" applyAlignment="1" applyProtection="1">
      <alignment horizontal="right" vertical="center"/>
      <protection locked="0"/>
    </xf>
    <xf numFmtId="38" fontId="6" fillId="0" borderId="0" xfId="2" applyFont="1" applyAlignment="1" applyProtection="1">
      <alignment vertical="top"/>
      <protection locked="0"/>
    </xf>
    <xf numFmtId="38" fontId="6" fillId="0" borderId="0" xfId="2" applyFont="1" applyBorder="1" applyAlignment="1" applyProtection="1">
      <alignment vertical="center"/>
      <protection locked="0"/>
    </xf>
    <xf numFmtId="38" fontId="13" fillId="0" borderId="0" xfId="2" applyFont="1" applyAlignment="1" applyProtection="1">
      <alignment vertical="center"/>
      <protection locked="0"/>
    </xf>
    <xf numFmtId="0" fontId="6" fillId="0" borderId="15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vertical="center"/>
    </xf>
    <xf numFmtId="0" fontId="6" fillId="0" borderId="65" xfId="1" applyFont="1" applyBorder="1" applyAlignment="1" applyProtection="1">
      <alignment vertical="center"/>
    </xf>
    <xf numFmtId="0" fontId="6" fillId="0" borderId="23" xfId="1" applyFont="1" applyBorder="1" applyAlignment="1" applyProtection="1">
      <alignment vertical="center"/>
    </xf>
    <xf numFmtId="0" fontId="6" fillId="0" borderId="24" xfId="1" applyFont="1" applyBorder="1" applyAlignment="1" applyProtection="1">
      <alignment vertical="center"/>
    </xf>
    <xf numFmtId="0" fontId="6" fillId="0" borderId="30" xfId="1" applyFont="1" applyBorder="1" applyAlignment="1" applyProtection="1">
      <alignment vertical="center"/>
    </xf>
    <xf numFmtId="0" fontId="6" fillId="0" borderId="31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70" xfId="1" applyFont="1" applyBorder="1" applyAlignment="1" applyProtection="1">
      <alignment vertical="center"/>
    </xf>
    <xf numFmtId="0" fontId="6" fillId="0" borderId="71" xfId="1" applyFont="1" applyBorder="1" applyAlignment="1" applyProtection="1">
      <alignment vertical="center"/>
    </xf>
    <xf numFmtId="38" fontId="15" fillId="0" borderId="0" xfId="2" applyFont="1" applyAlignment="1" applyProtection="1">
      <alignment vertical="center"/>
      <protection locked="0"/>
    </xf>
    <xf numFmtId="177" fontId="10" fillId="0" borderId="56" xfId="2" applyNumberFormat="1" applyFont="1" applyFill="1" applyBorder="1" applyAlignment="1" applyProtection="1">
      <alignment vertical="center" shrinkToFit="1"/>
      <protection hidden="1"/>
    </xf>
    <xf numFmtId="177" fontId="10" fillId="2" borderId="15" xfId="2" applyNumberFormat="1" applyFont="1" applyFill="1" applyBorder="1" applyAlignment="1" applyProtection="1">
      <alignment vertical="center" shrinkToFit="1"/>
      <protection locked="0"/>
    </xf>
    <xf numFmtId="177" fontId="10" fillId="0" borderId="15" xfId="2" applyNumberFormat="1" applyFont="1" applyFill="1" applyBorder="1" applyAlignment="1" applyProtection="1">
      <alignment vertical="center" shrinkToFit="1"/>
      <protection hidden="1"/>
    </xf>
    <xf numFmtId="177" fontId="10" fillId="0" borderId="58" xfId="2" applyNumberFormat="1" applyFont="1" applyFill="1" applyBorder="1" applyAlignment="1" applyProtection="1">
      <alignment vertical="center" shrinkToFit="1"/>
      <protection hidden="1"/>
    </xf>
    <xf numFmtId="177" fontId="10" fillId="2" borderId="22" xfId="2" applyNumberFormat="1" applyFont="1" applyFill="1" applyBorder="1" applyAlignment="1" applyProtection="1">
      <alignment vertical="center" shrinkToFit="1"/>
      <protection locked="0"/>
    </xf>
    <xf numFmtId="177" fontId="10" fillId="0" borderId="22" xfId="2" applyNumberFormat="1" applyFont="1" applyFill="1" applyBorder="1" applyAlignment="1" applyProtection="1">
      <alignment vertical="center" shrinkToFit="1"/>
      <protection hidden="1"/>
    </xf>
    <xf numFmtId="177" fontId="6" fillId="0" borderId="65" xfId="2" applyNumberFormat="1" applyFont="1" applyFill="1" applyBorder="1" applyAlignment="1" applyProtection="1">
      <alignment vertical="center"/>
    </xf>
    <xf numFmtId="177" fontId="6" fillId="0" borderId="24" xfId="2" applyNumberFormat="1" applyFont="1" applyFill="1" applyBorder="1" applyAlignment="1" applyProtection="1">
      <alignment vertical="center"/>
    </xf>
    <xf numFmtId="177" fontId="6" fillId="0" borderId="31" xfId="2" applyNumberFormat="1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8" fontId="10" fillId="4" borderId="46" xfId="1" applyNumberFormat="1" applyFont="1" applyFill="1" applyBorder="1" applyAlignment="1" applyProtection="1">
      <alignment vertical="center"/>
    </xf>
    <xf numFmtId="38" fontId="9" fillId="0" borderId="23" xfId="3" applyFont="1" applyFill="1" applyBorder="1" applyAlignment="1">
      <alignment horizontal="center" vertical="center"/>
    </xf>
    <xf numFmtId="38" fontId="9" fillId="0" borderId="24" xfId="3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38" fontId="9" fillId="0" borderId="17" xfId="3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38" fontId="6" fillId="0" borderId="5" xfId="2" applyFont="1" applyBorder="1" applyAlignment="1" applyProtection="1">
      <alignment horizontal="center" vertical="center" wrapText="1"/>
      <protection locked="0"/>
    </xf>
    <xf numFmtId="38" fontId="6" fillId="0" borderId="3" xfId="2" applyFont="1" applyBorder="1" applyAlignment="1" applyProtection="1">
      <alignment horizontal="center" vertical="center" wrapText="1"/>
      <protection locked="0"/>
    </xf>
    <xf numFmtId="38" fontId="6" fillId="0" borderId="11" xfId="2" applyFont="1" applyBorder="1" applyAlignment="1" applyProtection="1">
      <alignment horizontal="center" vertical="center" wrapText="1"/>
      <protection locked="0"/>
    </xf>
    <xf numFmtId="38" fontId="6" fillId="0" borderId="9" xfId="2" applyFont="1" applyBorder="1" applyAlignment="1" applyProtection="1">
      <alignment horizontal="center" vertical="center" wrapText="1"/>
      <protection locked="0"/>
    </xf>
    <xf numFmtId="38" fontId="6" fillId="0" borderId="2" xfId="2" applyFont="1" applyBorder="1" applyAlignment="1" applyProtection="1">
      <alignment horizontal="center" vertical="center" wrapText="1"/>
      <protection locked="0"/>
    </xf>
    <xf numFmtId="38" fontId="6" fillId="0" borderId="6" xfId="2" applyFont="1" applyBorder="1" applyAlignment="1" applyProtection="1">
      <alignment horizontal="center" vertical="center" wrapText="1"/>
      <protection locked="0"/>
    </xf>
    <xf numFmtId="38" fontId="6" fillId="0" borderId="8" xfId="2" applyFont="1" applyBorder="1" applyAlignment="1" applyProtection="1">
      <alignment horizontal="center" vertical="center" wrapText="1"/>
      <protection locked="0"/>
    </xf>
    <xf numFmtId="38" fontId="6" fillId="0" borderId="13" xfId="2" applyFont="1" applyBorder="1" applyAlignment="1" applyProtection="1">
      <alignment horizontal="center" vertical="center" wrapText="1"/>
      <protection locked="0"/>
    </xf>
    <xf numFmtId="177" fontId="6" fillId="0" borderId="29" xfId="2" applyNumberFormat="1" applyFont="1" applyBorder="1" applyAlignment="1" applyProtection="1">
      <alignment vertical="center"/>
    </xf>
    <xf numFmtId="177" fontId="6" fillId="0" borderId="59" xfId="2" applyNumberFormat="1" applyFont="1" applyBorder="1" applyAlignment="1" applyProtection="1">
      <alignment vertical="center"/>
    </xf>
    <xf numFmtId="0" fontId="6" fillId="0" borderId="12" xfId="1" applyFont="1" applyBorder="1" applyAlignment="1" applyProtection="1">
      <alignment horizontal="center" vertical="center" textRotation="255"/>
    </xf>
    <xf numFmtId="38" fontId="9" fillId="2" borderId="16" xfId="3" applyFont="1" applyFill="1" applyBorder="1" applyAlignment="1" applyProtection="1">
      <alignment vertical="center"/>
      <protection locked="0"/>
    </xf>
    <xf numFmtId="38" fontId="9" fillId="2" borderId="17" xfId="3" applyFont="1" applyFill="1" applyBorder="1" applyAlignment="1" applyProtection="1">
      <alignment vertical="center"/>
      <protection locked="0"/>
    </xf>
    <xf numFmtId="177" fontId="6" fillId="0" borderId="33" xfId="2" applyNumberFormat="1" applyFont="1" applyBorder="1" applyAlignment="1" applyProtection="1">
      <alignment vertical="center"/>
    </xf>
    <xf numFmtId="177" fontId="6" fillId="0" borderId="81" xfId="2" applyNumberFormat="1" applyFont="1" applyBorder="1" applyAlignment="1" applyProtection="1">
      <alignment vertical="center"/>
    </xf>
    <xf numFmtId="38" fontId="9" fillId="2" borderId="23" xfId="3" applyFont="1" applyFill="1" applyBorder="1" applyAlignment="1" applyProtection="1">
      <alignment vertical="center"/>
      <protection locked="0"/>
    </xf>
    <xf numFmtId="38" fontId="9" fillId="2" borderId="24" xfId="3" applyFont="1" applyFill="1" applyBorder="1" applyAlignment="1" applyProtection="1">
      <alignment vertical="center"/>
      <protection locked="0"/>
    </xf>
    <xf numFmtId="177" fontId="6" fillId="0" borderId="22" xfId="2" applyNumberFormat="1" applyFont="1" applyBorder="1" applyAlignment="1" applyProtection="1">
      <alignment vertical="center"/>
    </xf>
    <xf numFmtId="177" fontId="6" fillId="0" borderId="26" xfId="2" applyNumberFormat="1" applyFont="1" applyBorder="1" applyAlignment="1" applyProtection="1">
      <alignment vertical="center"/>
    </xf>
    <xf numFmtId="177" fontId="10" fillId="0" borderId="18" xfId="2" applyNumberFormat="1" applyFont="1" applyFill="1" applyBorder="1" applyAlignment="1" applyProtection="1">
      <alignment vertical="center"/>
    </xf>
    <xf numFmtId="177" fontId="10" fillId="0" borderId="25" xfId="2" applyNumberFormat="1" applyFont="1" applyFill="1" applyBorder="1" applyAlignment="1" applyProtection="1">
      <alignment vertical="center"/>
    </xf>
    <xf numFmtId="177" fontId="10" fillId="0" borderId="39" xfId="2" applyNumberFormat="1" applyFont="1" applyFill="1" applyBorder="1" applyAlignment="1" applyProtection="1">
      <alignment vertical="center"/>
    </xf>
    <xf numFmtId="177" fontId="6" fillId="0" borderId="16" xfId="2" applyNumberFormat="1" applyFont="1" applyBorder="1" applyAlignment="1" applyProtection="1">
      <alignment vertical="center"/>
    </xf>
    <xf numFmtId="177" fontId="6" fillId="0" borderId="19" xfId="2" applyNumberFormat="1" applyFont="1" applyBorder="1" applyAlignment="1" applyProtection="1">
      <alignment vertical="center"/>
    </xf>
    <xf numFmtId="177" fontId="6" fillId="0" borderId="20" xfId="2" applyNumberFormat="1" applyFont="1" applyBorder="1" applyAlignment="1" applyProtection="1">
      <alignment vertical="center"/>
    </xf>
    <xf numFmtId="38" fontId="9" fillId="2" borderId="30" xfId="3" applyFont="1" applyFill="1" applyBorder="1" applyAlignment="1" applyProtection="1">
      <alignment vertical="center"/>
      <protection locked="0"/>
    </xf>
    <xf numFmtId="38" fontId="9" fillId="2" borderId="31" xfId="3" applyFont="1" applyFill="1" applyBorder="1" applyAlignment="1" applyProtection="1">
      <alignment vertical="center"/>
      <protection locked="0"/>
    </xf>
    <xf numFmtId="0" fontId="8" fillId="0" borderId="50" xfId="1" applyFont="1" applyBorder="1" applyAlignment="1" applyProtection="1">
      <alignment horizontal="center" vertical="center" wrapText="1"/>
      <protection locked="0"/>
    </xf>
    <xf numFmtId="0" fontId="8" fillId="0" borderId="55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 textRotation="255"/>
    </xf>
    <xf numFmtId="0" fontId="6" fillId="0" borderId="60" xfId="1" applyFont="1" applyBorder="1" applyAlignment="1" applyProtection="1">
      <alignment horizontal="center" vertical="center" textRotation="255"/>
    </xf>
    <xf numFmtId="176" fontId="10" fillId="0" borderId="18" xfId="2" applyNumberFormat="1" applyFont="1" applyFill="1" applyBorder="1" applyAlignment="1" applyProtection="1">
      <alignment vertical="center"/>
      <protection hidden="1"/>
    </xf>
    <xf numFmtId="176" fontId="10" fillId="0" borderId="25" xfId="2" applyNumberFormat="1" applyFont="1" applyFill="1" applyBorder="1" applyAlignment="1" applyProtection="1">
      <alignment vertical="center"/>
      <protection hidden="1"/>
    </xf>
    <xf numFmtId="176" fontId="10" fillId="0" borderId="39" xfId="2" applyNumberFormat="1" applyFont="1" applyFill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textRotation="255"/>
    </xf>
    <xf numFmtId="0" fontId="6" fillId="0" borderId="41" xfId="1" applyFont="1" applyFill="1" applyBorder="1" applyAlignment="1" applyProtection="1">
      <alignment horizontal="center" vertical="center"/>
    </xf>
    <xf numFmtId="0" fontId="6" fillId="0" borderId="42" xfId="1" applyFont="1" applyFill="1" applyBorder="1" applyAlignment="1" applyProtection="1">
      <alignment horizontal="center" vertical="center"/>
    </xf>
    <xf numFmtId="0" fontId="6" fillId="0" borderId="43" xfId="1" applyFont="1" applyFill="1" applyBorder="1" applyAlignment="1" applyProtection="1">
      <alignment horizontal="center" vertical="center"/>
    </xf>
    <xf numFmtId="176" fontId="10" fillId="0" borderId="44" xfId="1" applyNumberFormat="1" applyFont="1" applyFill="1" applyBorder="1" applyAlignment="1" applyProtection="1">
      <alignment horizontal="right" vertical="center"/>
      <protection locked="0"/>
    </xf>
    <xf numFmtId="176" fontId="10" fillId="0" borderId="43" xfId="1" applyNumberFormat="1" applyFont="1" applyFill="1" applyBorder="1" applyAlignment="1" applyProtection="1">
      <alignment horizontal="right" vertical="center"/>
      <protection locked="0"/>
    </xf>
    <xf numFmtId="177" fontId="10" fillId="0" borderId="44" xfId="2" applyNumberFormat="1" applyFont="1" applyFill="1" applyBorder="1" applyAlignment="1" applyProtection="1">
      <alignment horizontal="center" vertical="center"/>
    </xf>
    <xf numFmtId="177" fontId="10" fillId="0" borderId="42" xfId="2" applyNumberFormat="1" applyFont="1" applyFill="1" applyBorder="1" applyAlignment="1" applyProtection="1">
      <alignment horizontal="center" vertical="center"/>
    </xf>
    <xf numFmtId="177" fontId="10" fillId="4" borderId="41" xfId="2" applyNumberFormat="1" applyFont="1" applyFill="1" applyBorder="1" applyAlignment="1" applyProtection="1">
      <alignment vertical="center"/>
    </xf>
    <xf numFmtId="177" fontId="10" fillId="4" borderId="42" xfId="2" applyNumberFormat="1" applyFont="1" applyFill="1" applyBorder="1" applyAlignment="1" applyProtection="1">
      <alignment vertical="center"/>
    </xf>
    <xf numFmtId="177" fontId="10" fillId="4" borderId="76" xfId="2" applyNumberFormat="1" applyFont="1" applyFill="1" applyBorder="1" applyAlignment="1" applyProtection="1">
      <alignment vertical="center"/>
    </xf>
    <xf numFmtId="0" fontId="6" fillId="0" borderId="18" xfId="1" applyFont="1" applyBorder="1" applyAlignment="1" applyProtection="1">
      <alignment horizontal="center" vertical="center" textRotation="255"/>
    </xf>
    <xf numFmtId="0" fontId="6" fillId="0" borderId="36" xfId="1" applyFont="1" applyBorder="1" applyAlignment="1" applyProtection="1">
      <alignment horizontal="center" vertical="center" textRotation="255"/>
    </xf>
    <xf numFmtId="38" fontId="10" fillId="0" borderId="45" xfId="2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38" fontId="6" fillId="0" borderId="5" xfId="2" applyFont="1" applyFill="1" applyBorder="1" applyAlignment="1" applyProtection="1">
      <alignment horizontal="center" vertical="center" wrapText="1"/>
      <protection locked="0"/>
    </xf>
    <xf numFmtId="38" fontId="6" fillId="0" borderId="3" xfId="2" applyFont="1" applyFill="1" applyBorder="1" applyAlignment="1" applyProtection="1">
      <alignment horizontal="center" vertical="center" wrapText="1"/>
      <protection locked="0"/>
    </xf>
    <xf numFmtId="38" fontId="6" fillId="0" borderId="11" xfId="2" applyFont="1" applyFill="1" applyBorder="1" applyAlignment="1" applyProtection="1">
      <alignment horizontal="center" vertical="center" wrapText="1"/>
      <protection locked="0"/>
    </xf>
    <xf numFmtId="38" fontId="6" fillId="0" borderId="9" xfId="2" applyFont="1" applyFill="1" applyBorder="1" applyAlignment="1" applyProtection="1">
      <alignment horizontal="center" vertical="center" wrapText="1"/>
      <protection locked="0"/>
    </xf>
    <xf numFmtId="38" fontId="6" fillId="0" borderId="2" xfId="2" applyFont="1" applyFill="1" applyBorder="1" applyAlignment="1" applyProtection="1">
      <alignment horizontal="center" vertical="center" wrapText="1"/>
      <protection locked="0"/>
    </xf>
    <xf numFmtId="38" fontId="6" fillId="0" borderId="6" xfId="2" applyFont="1" applyFill="1" applyBorder="1" applyAlignment="1" applyProtection="1">
      <alignment horizontal="center" vertical="center" wrapText="1"/>
      <protection locked="0"/>
    </xf>
    <xf numFmtId="38" fontId="6" fillId="0" borderId="8" xfId="2" applyFont="1" applyFill="1" applyBorder="1" applyAlignment="1" applyProtection="1">
      <alignment horizontal="center" vertical="center" wrapText="1"/>
      <protection locked="0"/>
    </xf>
    <xf numFmtId="38" fontId="6" fillId="0" borderId="13" xfId="2" applyFont="1" applyFill="1" applyBorder="1" applyAlignment="1" applyProtection="1">
      <alignment horizontal="center" vertical="center" wrapText="1"/>
      <protection locked="0"/>
    </xf>
    <xf numFmtId="38" fontId="6" fillId="0" borderId="47" xfId="2" applyFont="1" applyBorder="1" applyAlignment="1" applyProtection="1">
      <alignment horizontal="center" vertical="center"/>
      <protection locked="0"/>
    </xf>
    <xf numFmtId="38" fontId="6" fillId="0" borderId="48" xfId="2" applyFont="1" applyBorder="1" applyAlignment="1" applyProtection="1">
      <alignment horizontal="center" vertical="center"/>
      <protection locked="0"/>
    </xf>
    <xf numFmtId="38" fontId="6" fillId="0" borderId="49" xfId="2" applyFont="1" applyBorder="1" applyAlignment="1" applyProtection="1">
      <alignment horizontal="center" vertical="center"/>
      <protection locked="0"/>
    </xf>
    <xf numFmtId="177" fontId="10" fillId="4" borderId="45" xfId="2" applyNumberFormat="1" applyFont="1" applyFill="1" applyBorder="1" applyAlignment="1" applyProtection="1">
      <alignment vertical="center"/>
    </xf>
    <xf numFmtId="177" fontId="10" fillId="4" borderId="46" xfId="2" applyNumberFormat="1" applyFont="1" applyFill="1" applyBorder="1" applyAlignment="1" applyProtection="1">
      <alignment vertical="center"/>
    </xf>
    <xf numFmtId="177" fontId="10" fillId="0" borderId="73" xfId="2" applyNumberFormat="1" applyFont="1" applyBorder="1" applyAlignment="1" applyProtection="1">
      <alignment vertical="center" shrinkToFit="1"/>
    </xf>
    <xf numFmtId="177" fontId="10" fillId="0" borderId="74" xfId="2" applyNumberFormat="1" applyFont="1" applyBorder="1" applyAlignment="1" applyProtection="1">
      <alignment vertical="center" shrinkToFit="1"/>
    </xf>
    <xf numFmtId="177" fontId="10" fillId="0" borderId="75" xfId="2" applyNumberFormat="1" applyFont="1" applyBorder="1" applyAlignment="1" applyProtection="1">
      <alignment vertical="center" shrinkToFit="1"/>
    </xf>
    <xf numFmtId="177" fontId="10" fillId="0" borderId="30" xfId="2" applyNumberFormat="1" applyFont="1" applyFill="1" applyBorder="1" applyAlignment="1" applyProtection="1">
      <alignment vertical="center"/>
    </xf>
    <xf numFmtId="177" fontId="10" fillId="0" borderId="68" xfId="2" applyNumberFormat="1" applyFont="1" applyFill="1" applyBorder="1" applyAlignment="1" applyProtection="1">
      <alignment vertical="center"/>
    </xf>
    <xf numFmtId="177" fontId="10" fillId="0" borderId="69" xfId="2" applyNumberFormat="1" applyFont="1" applyFill="1" applyBorder="1" applyAlignment="1" applyProtection="1">
      <alignment vertical="center"/>
    </xf>
    <xf numFmtId="0" fontId="6" fillId="0" borderId="64" xfId="1" applyFont="1" applyBorder="1" applyAlignment="1" applyProtection="1">
      <alignment horizontal="center" vertical="center" textRotation="255"/>
    </xf>
    <xf numFmtId="0" fontId="6" fillId="0" borderId="25" xfId="1" applyFont="1" applyBorder="1" applyAlignment="1" applyProtection="1">
      <alignment horizontal="center" vertical="center" wrapText="1"/>
    </xf>
    <xf numFmtId="0" fontId="6" fillId="0" borderId="25" xfId="1" applyFont="1" applyBorder="1" applyAlignment="1" applyProtection="1">
      <alignment horizontal="center" vertical="center"/>
    </xf>
    <xf numFmtId="177" fontId="10" fillId="2" borderId="16" xfId="2" applyNumberFormat="1" applyFont="1" applyFill="1" applyBorder="1" applyAlignment="1" applyProtection="1">
      <alignment vertical="center"/>
      <protection locked="0"/>
    </xf>
    <xf numFmtId="177" fontId="10" fillId="2" borderId="17" xfId="2" applyNumberFormat="1" applyFont="1" applyFill="1" applyBorder="1" applyAlignment="1" applyProtection="1">
      <alignment vertical="center"/>
      <protection locked="0"/>
    </xf>
    <xf numFmtId="177" fontId="10" fillId="0" borderId="32" xfId="2" applyNumberFormat="1" applyFont="1" applyFill="1" applyBorder="1" applyAlignment="1" applyProtection="1">
      <alignment vertical="center"/>
    </xf>
    <xf numFmtId="177" fontId="10" fillId="0" borderId="34" xfId="2" applyNumberFormat="1" applyFont="1" applyFill="1" applyBorder="1" applyAlignment="1" applyProtection="1">
      <alignment vertical="center"/>
    </xf>
    <xf numFmtId="177" fontId="10" fillId="0" borderId="66" xfId="2" applyNumberFormat="1" applyFont="1" applyFill="1" applyBorder="1" applyAlignment="1" applyProtection="1">
      <alignment vertical="center"/>
    </xf>
    <xf numFmtId="177" fontId="10" fillId="2" borderId="23" xfId="2" applyNumberFormat="1" applyFont="1" applyFill="1" applyBorder="1" applyAlignment="1" applyProtection="1">
      <alignment vertical="center"/>
      <protection locked="0"/>
    </xf>
    <xf numFmtId="177" fontId="10" fillId="2" borderId="24" xfId="2" applyNumberFormat="1" applyFont="1" applyFill="1" applyBorder="1" applyAlignment="1" applyProtection="1">
      <alignment vertical="center"/>
      <protection locked="0"/>
    </xf>
    <xf numFmtId="177" fontId="10" fillId="0" borderId="23" xfId="2" applyNumberFormat="1" applyFont="1" applyFill="1" applyBorder="1" applyAlignment="1" applyProtection="1">
      <alignment vertical="center"/>
    </xf>
    <xf numFmtId="177" fontId="10" fillId="0" borderId="35" xfId="2" applyNumberFormat="1" applyFont="1" applyFill="1" applyBorder="1" applyAlignment="1" applyProtection="1">
      <alignment vertical="center"/>
    </xf>
    <xf numFmtId="177" fontId="10" fillId="0" borderId="67" xfId="2" applyNumberFormat="1" applyFont="1" applyFill="1" applyBorder="1" applyAlignment="1" applyProtection="1">
      <alignment vertical="center"/>
    </xf>
    <xf numFmtId="177" fontId="10" fillId="2" borderId="40" xfId="2" applyNumberFormat="1" applyFont="1" applyFill="1" applyBorder="1" applyAlignment="1" applyProtection="1">
      <alignment vertical="center"/>
      <protection locked="0"/>
    </xf>
    <xf numFmtId="177" fontId="10" fillId="2" borderId="82" xfId="2" applyNumberFormat="1" applyFont="1" applyFill="1" applyBorder="1" applyAlignment="1" applyProtection="1">
      <alignment vertical="center"/>
      <protection locked="0"/>
    </xf>
    <xf numFmtId="177" fontId="10" fillId="0" borderId="70" xfId="2" applyNumberFormat="1" applyFont="1" applyFill="1" applyBorder="1" applyAlignment="1" applyProtection="1">
      <alignment vertical="center"/>
    </xf>
    <xf numFmtId="177" fontId="10" fillId="0" borderId="38" xfId="2" applyNumberFormat="1" applyFont="1" applyFill="1" applyBorder="1" applyAlignment="1" applyProtection="1">
      <alignment vertical="center"/>
    </xf>
    <xf numFmtId="177" fontId="10" fillId="0" borderId="72" xfId="2" applyNumberFormat="1" applyFont="1" applyFill="1" applyBorder="1" applyAlignment="1" applyProtection="1">
      <alignment vertical="center"/>
    </xf>
    <xf numFmtId="177" fontId="10" fillId="2" borderId="32" xfId="2" applyNumberFormat="1" applyFont="1" applyFill="1" applyBorder="1" applyAlignment="1" applyProtection="1">
      <alignment vertical="center"/>
      <protection locked="0"/>
    </xf>
    <xf numFmtId="177" fontId="10" fillId="2" borderId="65" xfId="2" applyNumberFormat="1" applyFont="1" applyFill="1" applyBorder="1" applyAlignment="1" applyProtection="1">
      <alignment vertical="center"/>
      <protection locked="0"/>
    </xf>
    <xf numFmtId="177" fontId="10" fillId="0" borderId="18" xfId="1" applyNumberFormat="1" applyFont="1" applyBorder="1" applyAlignment="1" applyProtection="1">
      <alignment vertical="center"/>
      <protection locked="0"/>
    </xf>
    <xf numFmtId="0" fontId="10" fillId="0" borderId="25" xfId="1" applyFont="1" applyBorder="1" applyAlignment="1" applyProtection="1">
      <alignment vertical="center"/>
      <protection locked="0"/>
    </xf>
    <xf numFmtId="0" fontId="10" fillId="0" borderId="39" xfId="1" applyFont="1" applyBorder="1" applyAlignment="1" applyProtection="1">
      <alignment vertical="center"/>
      <protection locked="0"/>
    </xf>
    <xf numFmtId="177" fontId="10" fillId="2" borderId="30" xfId="2" applyNumberFormat="1" applyFont="1" applyFill="1" applyBorder="1" applyAlignment="1" applyProtection="1">
      <alignment vertical="center"/>
      <protection locked="0"/>
    </xf>
    <xf numFmtId="177" fontId="10" fillId="2" borderId="31" xfId="2" applyNumberFormat="1" applyFont="1" applyFill="1" applyBorder="1" applyAlignment="1" applyProtection="1">
      <alignment vertical="center"/>
      <protection locked="0"/>
    </xf>
    <xf numFmtId="38" fontId="10" fillId="0" borderId="0" xfId="2" applyFont="1" applyBorder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 wrapText="1"/>
      <protection locked="0"/>
    </xf>
    <xf numFmtId="0" fontId="7" fillId="0" borderId="28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vertical="center" wrapText="1"/>
      <protection locked="0"/>
    </xf>
    <xf numFmtId="0" fontId="7" fillId="0" borderId="28" xfId="1" applyFont="1" applyBorder="1" applyAlignment="1" applyProtection="1">
      <alignment vertical="center" wrapText="1"/>
      <protection locked="0"/>
    </xf>
    <xf numFmtId="0" fontId="7" fillId="0" borderId="11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0" fontId="7" fillId="0" borderId="28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0" fontId="6" fillId="0" borderId="42" xfId="1" applyFont="1" applyBorder="1" applyAlignment="1" applyProtection="1">
      <alignment vertical="center" wrapText="1"/>
      <protection locked="0"/>
    </xf>
    <xf numFmtId="0" fontId="6" fillId="0" borderId="76" xfId="1" applyFont="1" applyBorder="1" applyAlignment="1" applyProtection="1">
      <alignment vertical="center" wrapText="1"/>
      <protection locked="0"/>
    </xf>
    <xf numFmtId="177" fontId="10" fillId="3" borderId="41" xfId="2" applyNumberFormat="1" applyFont="1" applyFill="1" applyBorder="1" applyAlignment="1" applyProtection="1">
      <alignment vertical="center"/>
    </xf>
    <xf numFmtId="177" fontId="10" fillId="3" borderId="42" xfId="2" applyNumberFormat="1" applyFont="1" applyFill="1" applyBorder="1" applyAlignment="1" applyProtection="1">
      <alignment vertical="center"/>
    </xf>
    <xf numFmtId="177" fontId="10" fillId="3" borderId="76" xfId="2" applyNumberFormat="1" applyFont="1" applyFill="1" applyBorder="1" applyAlignment="1" applyProtection="1">
      <alignment vertical="center"/>
    </xf>
    <xf numFmtId="38" fontId="10" fillId="0" borderId="73" xfId="2" applyFont="1" applyBorder="1" applyAlignment="1" applyProtection="1">
      <alignment vertical="center" shrinkToFit="1"/>
    </xf>
    <xf numFmtId="38" fontId="10" fillId="0" borderId="74" xfId="2" applyFont="1" applyBorder="1" applyAlignment="1" applyProtection="1">
      <alignment vertical="center" shrinkToFit="1"/>
    </xf>
    <xf numFmtId="38" fontId="10" fillId="0" borderId="77" xfId="2" applyFont="1" applyBorder="1" applyAlignment="1" applyProtection="1">
      <alignment vertical="center" shrinkToFit="1"/>
    </xf>
    <xf numFmtId="177" fontId="10" fillId="3" borderId="78" xfId="2" applyNumberFormat="1" applyFont="1" applyFill="1" applyBorder="1" applyAlignment="1" applyProtection="1">
      <alignment vertical="center"/>
    </xf>
    <xf numFmtId="177" fontId="10" fillId="3" borderId="79" xfId="2" applyNumberFormat="1" applyFont="1" applyFill="1" applyBorder="1" applyAlignment="1" applyProtection="1">
      <alignment vertical="center"/>
    </xf>
    <xf numFmtId="177" fontId="10" fillId="3" borderId="80" xfId="2" applyNumberFormat="1" applyFont="1" applyFill="1" applyBorder="1" applyAlignment="1" applyProtection="1">
      <alignment vertical="center"/>
    </xf>
    <xf numFmtId="177" fontId="10" fillId="4" borderId="83" xfId="2" applyNumberFormat="1" applyFont="1" applyFill="1" applyBorder="1" applyAlignment="1" applyProtection="1">
      <alignment vertical="center"/>
    </xf>
    <xf numFmtId="177" fontId="10" fillId="4" borderId="84" xfId="2" applyNumberFormat="1" applyFont="1" applyFill="1" applyBorder="1" applyAlignment="1" applyProtection="1">
      <alignment vertical="center"/>
    </xf>
    <xf numFmtId="177" fontId="10" fillId="4" borderId="85" xfId="2" applyNumberFormat="1" applyFont="1" applyFill="1" applyBorder="1" applyAlignment="1" applyProtection="1">
      <alignment vertical="center"/>
    </xf>
    <xf numFmtId="177" fontId="10" fillId="3" borderId="86" xfId="2" applyNumberFormat="1" applyFont="1" applyFill="1" applyBorder="1" applyAlignment="1" applyProtection="1">
      <alignment vertical="center"/>
    </xf>
    <xf numFmtId="177" fontId="10" fillId="3" borderId="87" xfId="2" applyNumberFormat="1" applyFont="1" applyFill="1" applyBorder="1" applyAlignment="1" applyProtection="1">
      <alignment vertical="center"/>
    </xf>
    <xf numFmtId="177" fontId="10" fillId="3" borderId="88" xfId="2" applyNumberFormat="1" applyFont="1" applyFill="1" applyBorder="1" applyAlignment="1" applyProtection="1">
      <alignment vertical="center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177" fontId="6" fillId="0" borderId="44" xfId="1" applyNumberFormat="1" applyFont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vertical="center"/>
      <protection locked="0"/>
    </xf>
    <xf numFmtId="177" fontId="10" fillId="0" borderId="45" xfId="2" applyNumberFormat="1" applyFont="1" applyFill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T73"/>
  <sheetViews>
    <sheetView tabSelected="1" view="pageBreakPreview" zoomScaleNormal="100" zoomScaleSheetLayoutView="100" workbookViewId="0">
      <selection activeCell="Q2" sqref="Q2"/>
    </sheetView>
  </sheetViews>
  <sheetFormatPr defaultRowHeight="12.7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7.625" style="2" customWidth="1"/>
    <col min="14" max="14" width="7.375" style="2" customWidth="1"/>
    <col min="15" max="15" width="10.625" style="2" customWidth="1"/>
    <col min="16" max="16" width="14.625" style="2" customWidth="1"/>
    <col min="17" max="242" width="9" style="1"/>
    <col min="243" max="243" width="1" style="1" customWidth="1"/>
    <col min="244" max="244" width="3.75" style="1" bestFit="1" customWidth="1"/>
    <col min="245" max="245" width="5" style="1" bestFit="1" customWidth="1"/>
    <col min="246" max="246" width="8.75" style="1" bestFit="1" customWidth="1"/>
    <col min="247" max="247" width="6.5" style="1" bestFit="1" customWidth="1"/>
    <col min="248" max="249" width="8" style="1" customWidth="1"/>
    <col min="250" max="250" width="12" style="1" customWidth="1"/>
    <col min="251" max="251" width="6.75" style="1" customWidth="1"/>
    <col min="252" max="252" width="7.375" style="1" customWidth="1"/>
    <col min="253" max="253" width="7.75" style="1" customWidth="1"/>
    <col min="254" max="254" width="8.25" style="1" customWidth="1"/>
    <col min="255" max="255" width="9.125" style="1" customWidth="1"/>
    <col min="256" max="256" width="13.5" style="1" bestFit="1" customWidth="1"/>
    <col min="257" max="257" width="5.125" style="1" customWidth="1"/>
    <col min="258" max="258" width="9.5" style="1" customWidth="1"/>
    <col min="259" max="260" width="9.25" style="1" bestFit="1" customWidth="1"/>
    <col min="261" max="498" width="9" style="1"/>
    <col min="499" max="499" width="1" style="1" customWidth="1"/>
    <col min="500" max="500" width="3.75" style="1" bestFit="1" customWidth="1"/>
    <col min="501" max="501" width="5" style="1" bestFit="1" customWidth="1"/>
    <col min="502" max="502" width="8.75" style="1" bestFit="1" customWidth="1"/>
    <col min="503" max="503" width="6.5" style="1" bestFit="1" customWidth="1"/>
    <col min="504" max="505" width="8" style="1" customWidth="1"/>
    <col min="506" max="506" width="12" style="1" customWidth="1"/>
    <col min="507" max="507" width="6.75" style="1" customWidth="1"/>
    <col min="508" max="508" width="7.375" style="1" customWidth="1"/>
    <col min="509" max="509" width="7.75" style="1" customWidth="1"/>
    <col min="510" max="510" width="8.25" style="1" customWidth="1"/>
    <col min="511" max="511" width="9.125" style="1" customWidth="1"/>
    <col min="512" max="512" width="13.5" style="1" bestFit="1" customWidth="1"/>
    <col min="513" max="513" width="5.125" style="1" customWidth="1"/>
    <col min="514" max="514" width="9.5" style="1" customWidth="1"/>
    <col min="515" max="516" width="9.25" style="1" bestFit="1" customWidth="1"/>
    <col min="517" max="754" width="9" style="1"/>
    <col min="755" max="755" width="1" style="1" customWidth="1"/>
    <col min="756" max="756" width="3.75" style="1" bestFit="1" customWidth="1"/>
    <col min="757" max="757" width="5" style="1" bestFit="1" customWidth="1"/>
    <col min="758" max="758" width="8.75" style="1" bestFit="1" customWidth="1"/>
    <col min="759" max="759" width="6.5" style="1" bestFit="1" customWidth="1"/>
    <col min="760" max="761" width="8" style="1" customWidth="1"/>
    <col min="762" max="762" width="12" style="1" customWidth="1"/>
    <col min="763" max="763" width="6.75" style="1" customWidth="1"/>
    <col min="764" max="764" width="7.375" style="1" customWidth="1"/>
    <col min="765" max="765" width="7.75" style="1" customWidth="1"/>
    <col min="766" max="766" width="8.25" style="1" customWidth="1"/>
    <col min="767" max="767" width="9.125" style="1" customWidth="1"/>
    <col min="768" max="768" width="13.5" style="1" bestFit="1" customWidth="1"/>
    <col min="769" max="769" width="5.125" style="1" customWidth="1"/>
    <col min="770" max="770" width="9.5" style="1" customWidth="1"/>
    <col min="771" max="772" width="9.25" style="1" bestFit="1" customWidth="1"/>
    <col min="773" max="1010" width="9" style="1"/>
    <col min="1011" max="1011" width="1" style="1" customWidth="1"/>
    <col min="1012" max="1012" width="3.75" style="1" bestFit="1" customWidth="1"/>
    <col min="1013" max="1013" width="5" style="1" bestFit="1" customWidth="1"/>
    <col min="1014" max="1014" width="8.75" style="1" bestFit="1" customWidth="1"/>
    <col min="1015" max="1015" width="6.5" style="1" bestFit="1" customWidth="1"/>
    <col min="1016" max="1017" width="8" style="1" customWidth="1"/>
    <col min="1018" max="1018" width="12" style="1" customWidth="1"/>
    <col min="1019" max="1019" width="6.75" style="1" customWidth="1"/>
    <col min="1020" max="1020" width="7.375" style="1" customWidth="1"/>
    <col min="1021" max="1021" width="7.75" style="1" customWidth="1"/>
    <col min="1022" max="1022" width="8.25" style="1" customWidth="1"/>
    <col min="1023" max="1023" width="9.125" style="1" customWidth="1"/>
    <col min="1024" max="1024" width="13.5" style="1" bestFit="1" customWidth="1"/>
    <col min="1025" max="1025" width="5.125" style="1" customWidth="1"/>
    <col min="1026" max="1026" width="9.5" style="1" customWidth="1"/>
    <col min="1027" max="1028" width="9.25" style="1" bestFit="1" customWidth="1"/>
    <col min="1029" max="1266" width="9" style="1"/>
    <col min="1267" max="1267" width="1" style="1" customWidth="1"/>
    <col min="1268" max="1268" width="3.75" style="1" bestFit="1" customWidth="1"/>
    <col min="1269" max="1269" width="5" style="1" bestFit="1" customWidth="1"/>
    <col min="1270" max="1270" width="8.75" style="1" bestFit="1" customWidth="1"/>
    <col min="1271" max="1271" width="6.5" style="1" bestFit="1" customWidth="1"/>
    <col min="1272" max="1273" width="8" style="1" customWidth="1"/>
    <col min="1274" max="1274" width="12" style="1" customWidth="1"/>
    <col min="1275" max="1275" width="6.75" style="1" customWidth="1"/>
    <col min="1276" max="1276" width="7.375" style="1" customWidth="1"/>
    <col min="1277" max="1277" width="7.75" style="1" customWidth="1"/>
    <col min="1278" max="1278" width="8.25" style="1" customWidth="1"/>
    <col min="1279" max="1279" width="9.125" style="1" customWidth="1"/>
    <col min="1280" max="1280" width="13.5" style="1" bestFit="1" customWidth="1"/>
    <col min="1281" max="1281" width="5.125" style="1" customWidth="1"/>
    <col min="1282" max="1282" width="9.5" style="1" customWidth="1"/>
    <col min="1283" max="1284" width="9.25" style="1" bestFit="1" customWidth="1"/>
    <col min="1285" max="1522" width="9" style="1"/>
    <col min="1523" max="1523" width="1" style="1" customWidth="1"/>
    <col min="1524" max="1524" width="3.75" style="1" bestFit="1" customWidth="1"/>
    <col min="1525" max="1525" width="5" style="1" bestFit="1" customWidth="1"/>
    <col min="1526" max="1526" width="8.75" style="1" bestFit="1" customWidth="1"/>
    <col min="1527" max="1527" width="6.5" style="1" bestFit="1" customWidth="1"/>
    <col min="1528" max="1529" width="8" style="1" customWidth="1"/>
    <col min="1530" max="1530" width="12" style="1" customWidth="1"/>
    <col min="1531" max="1531" width="6.75" style="1" customWidth="1"/>
    <col min="1532" max="1532" width="7.375" style="1" customWidth="1"/>
    <col min="1533" max="1533" width="7.75" style="1" customWidth="1"/>
    <col min="1534" max="1534" width="8.25" style="1" customWidth="1"/>
    <col min="1535" max="1535" width="9.125" style="1" customWidth="1"/>
    <col min="1536" max="1536" width="13.5" style="1" bestFit="1" customWidth="1"/>
    <col min="1537" max="1537" width="5.125" style="1" customWidth="1"/>
    <col min="1538" max="1538" width="9.5" style="1" customWidth="1"/>
    <col min="1539" max="1540" width="9.25" style="1" bestFit="1" customWidth="1"/>
    <col min="1541" max="1778" width="9" style="1"/>
    <col min="1779" max="1779" width="1" style="1" customWidth="1"/>
    <col min="1780" max="1780" width="3.75" style="1" bestFit="1" customWidth="1"/>
    <col min="1781" max="1781" width="5" style="1" bestFit="1" customWidth="1"/>
    <col min="1782" max="1782" width="8.75" style="1" bestFit="1" customWidth="1"/>
    <col min="1783" max="1783" width="6.5" style="1" bestFit="1" customWidth="1"/>
    <col min="1784" max="1785" width="8" style="1" customWidth="1"/>
    <col min="1786" max="1786" width="12" style="1" customWidth="1"/>
    <col min="1787" max="1787" width="6.75" style="1" customWidth="1"/>
    <col min="1788" max="1788" width="7.375" style="1" customWidth="1"/>
    <col min="1789" max="1789" width="7.75" style="1" customWidth="1"/>
    <col min="1790" max="1790" width="8.25" style="1" customWidth="1"/>
    <col min="1791" max="1791" width="9.125" style="1" customWidth="1"/>
    <col min="1792" max="1792" width="13.5" style="1" bestFit="1" customWidth="1"/>
    <col min="1793" max="1793" width="5.125" style="1" customWidth="1"/>
    <col min="1794" max="1794" width="9.5" style="1" customWidth="1"/>
    <col min="1795" max="1796" width="9.25" style="1" bestFit="1" customWidth="1"/>
    <col min="1797" max="2034" width="9" style="1"/>
    <col min="2035" max="2035" width="1" style="1" customWidth="1"/>
    <col min="2036" max="2036" width="3.75" style="1" bestFit="1" customWidth="1"/>
    <col min="2037" max="2037" width="5" style="1" bestFit="1" customWidth="1"/>
    <col min="2038" max="2038" width="8.75" style="1" bestFit="1" customWidth="1"/>
    <col min="2039" max="2039" width="6.5" style="1" bestFit="1" customWidth="1"/>
    <col min="2040" max="2041" width="8" style="1" customWidth="1"/>
    <col min="2042" max="2042" width="12" style="1" customWidth="1"/>
    <col min="2043" max="2043" width="6.75" style="1" customWidth="1"/>
    <col min="2044" max="2044" width="7.375" style="1" customWidth="1"/>
    <col min="2045" max="2045" width="7.75" style="1" customWidth="1"/>
    <col min="2046" max="2046" width="8.25" style="1" customWidth="1"/>
    <col min="2047" max="2047" width="9.125" style="1" customWidth="1"/>
    <col min="2048" max="2048" width="13.5" style="1" bestFit="1" customWidth="1"/>
    <col min="2049" max="2049" width="5.125" style="1" customWidth="1"/>
    <col min="2050" max="2050" width="9.5" style="1" customWidth="1"/>
    <col min="2051" max="2052" width="9.25" style="1" bestFit="1" customWidth="1"/>
    <col min="2053" max="2290" width="9" style="1"/>
    <col min="2291" max="2291" width="1" style="1" customWidth="1"/>
    <col min="2292" max="2292" width="3.75" style="1" bestFit="1" customWidth="1"/>
    <col min="2293" max="2293" width="5" style="1" bestFit="1" customWidth="1"/>
    <col min="2294" max="2294" width="8.75" style="1" bestFit="1" customWidth="1"/>
    <col min="2295" max="2295" width="6.5" style="1" bestFit="1" customWidth="1"/>
    <col min="2296" max="2297" width="8" style="1" customWidth="1"/>
    <col min="2298" max="2298" width="12" style="1" customWidth="1"/>
    <col min="2299" max="2299" width="6.75" style="1" customWidth="1"/>
    <col min="2300" max="2300" width="7.375" style="1" customWidth="1"/>
    <col min="2301" max="2301" width="7.75" style="1" customWidth="1"/>
    <col min="2302" max="2302" width="8.25" style="1" customWidth="1"/>
    <col min="2303" max="2303" width="9.125" style="1" customWidth="1"/>
    <col min="2304" max="2304" width="13.5" style="1" bestFit="1" customWidth="1"/>
    <col min="2305" max="2305" width="5.125" style="1" customWidth="1"/>
    <col min="2306" max="2306" width="9.5" style="1" customWidth="1"/>
    <col min="2307" max="2308" width="9.25" style="1" bestFit="1" customWidth="1"/>
    <col min="2309" max="2546" width="9" style="1"/>
    <col min="2547" max="2547" width="1" style="1" customWidth="1"/>
    <col min="2548" max="2548" width="3.75" style="1" bestFit="1" customWidth="1"/>
    <col min="2549" max="2549" width="5" style="1" bestFit="1" customWidth="1"/>
    <col min="2550" max="2550" width="8.75" style="1" bestFit="1" customWidth="1"/>
    <col min="2551" max="2551" width="6.5" style="1" bestFit="1" customWidth="1"/>
    <col min="2552" max="2553" width="8" style="1" customWidth="1"/>
    <col min="2554" max="2554" width="12" style="1" customWidth="1"/>
    <col min="2555" max="2555" width="6.75" style="1" customWidth="1"/>
    <col min="2556" max="2556" width="7.375" style="1" customWidth="1"/>
    <col min="2557" max="2557" width="7.75" style="1" customWidth="1"/>
    <col min="2558" max="2558" width="8.25" style="1" customWidth="1"/>
    <col min="2559" max="2559" width="9.125" style="1" customWidth="1"/>
    <col min="2560" max="2560" width="13.5" style="1" bestFit="1" customWidth="1"/>
    <col min="2561" max="2561" width="5.125" style="1" customWidth="1"/>
    <col min="2562" max="2562" width="9.5" style="1" customWidth="1"/>
    <col min="2563" max="2564" width="9.25" style="1" bestFit="1" customWidth="1"/>
    <col min="2565" max="2802" width="9" style="1"/>
    <col min="2803" max="2803" width="1" style="1" customWidth="1"/>
    <col min="2804" max="2804" width="3.75" style="1" bestFit="1" customWidth="1"/>
    <col min="2805" max="2805" width="5" style="1" bestFit="1" customWidth="1"/>
    <col min="2806" max="2806" width="8.75" style="1" bestFit="1" customWidth="1"/>
    <col min="2807" max="2807" width="6.5" style="1" bestFit="1" customWidth="1"/>
    <col min="2808" max="2809" width="8" style="1" customWidth="1"/>
    <col min="2810" max="2810" width="12" style="1" customWidth="1"/>
    <col min="2811" max="2811" width="6.75" style="1" customWidth="1"/>
    <col min="2812" max="2812" width="7.375" style="1" customWidth="1"/>
    <col min="2813" max="2813" width="7.75" style="1" customWidth="1"/>
    <col min="2814" max="2814" width="8.25" style="1" customWidth="1"/>
    <col min="2815" max="2815" width="9.125" style="1" customWidth="1"/>
    <col min="2816" max="2816" width="13.5" style="1" bestFit="1" customWidth="1"/>
    <col min="2817" max="2817" width="5.125" style="1" customWidth="1"/>
    <col min="2818" max="2818" width="9.5" style="1" customWidth="1"/>
    <col min="2819" max="2820" width="9.25" style="1" bestFit="1" customWidth="1"/>
    <col min="2821" max="3058" width="9" style="1"/>
    <col min="3059" max="3059" width="1" style="1" customWidth="1"/>
    <col min="3060" max="3060" width="3.75" style="1" bestFit="1" customWidth="1"/>
    <col min="3061" max="3061" width="5" style="1" bestFit="1" customWidth="1"/>
    <col min="3062" max="3062" width="8.75" style="1" bestFit="1" customWidth="1"/>
    <col min="3063" max="3063" width="6.5" style="1" bestFit="1" customWidth="1"/>
    <col min="3064" max="3065" width="8" style="1" customWidth="1"/>
    <col min="3066" max="3066" width="12" style="1" customWidth="1"/>
    <col min="3067" max="3067" width="6.75" style="1" customWidth="1"/>
    <col min="3068" max="3068" width="7.375" style="1" customWidth="1"/>
    <col min="3069" max="3069" width="7.75" style="1" customWidth="1"/>
    <col min="3070" max="3070" width="8.25" style="1" customWidth="1"/>
    <col min="3071" max="3071" width="9.125" style="1" customWidth="1"/>
    <col min="3072" max="3072" width="13.5" style="1" bestFit="1" customWidth="1"/>
    <col min="3073" max="3073" width="5.125" style="1" customWidth="1"/>
    <col min="3074" max="3074" width="9.5" style="1" customWidth="1"/>
    <col min="3075" max="3076" width="9.25" style="1" bestFit="1" customWidth="1"/>
    <col min="3077" max="3314" width="9" style="1"/>
    <col min="3315" max="3315" width="1" style="1" customWidth="1"/>
    <col min="3316" max="3316" width="3.75" style="1" bestFit="1" customWidth="1"/>
    <col min="3317" max="3317" width="5" style="1" bestFit="1" customWidth="1"/>
    <col min="3318" max="3318" width="8.75" style="1" bestFit="1" customWidth="1"/>
    <col min="3319" max="3319" width="6.5" style="1" bestFit="1" customWidth="1"/>
    <col min="3320" max="3321" width="8" style="1" customWidth="1"/>
    <col min="3322" max="3322" width="12" style="1" customWidth="1"/>
    <col min="3323" max="3323" width="6.75" style="1" customWidth="1"/>
    <col min="3324" max="3324" width="7.375" style="1" customWidth="1"/>
    <col min="3325" max="3325" width="7.75" style="1" customWidth="1"/>
    <col min="3326" max="3326" width="8.25" style="1" customWidth="1"/>
    <col min="3327" max="3327" width="9.125" style="1" customWidth="1"/>
    <col min="3328" max="3328" width="13.5" style="1" bestFit="1" customWidth="1"/>
    <col min="3329" max="3329" width="5.125" style="1" customWidth="1"/>
    <col min="3330" max="3330" width="9.5" style="1" customWidth="1"/>
    <col min="3331" max="3332" width="9.25" style="1" bestFit="1" customWidth="1"/>
    <col min="3333" max="3570" width="9" style="1"/>
    <col min="3571" max="3571" width="1" style="1" customWidth="1"/>
    <col min="3572" max="3572" width="3.75" style="1" bestFit="1" customWidth="1"/>
    <col min="3573" max="3573" width="5" style="1" bestFit="1" customWidth="1"/>
    <col min="3574" max="3574" width="8.75" style="1" bestFit="1" customWidth="1"/>
    <col min="3575" max="3575" width="6.5" style="1" bestFit="1" customWidth="1"/>
    <col min="3576" max="3577" width="8" style="1" customWidth="1"/>
    <col min="3578" max="3578" width="12" style="1" customWidth="1"/>
    <col min="3579" max="3579" width="6.75" style="1" customWidth="1"/>
    <col min="3580" max="3580" width="7.375" style="1" customWidth="1"/>
    <col min="3581" max="3581" width="7.75" style="1" customWidth="1"/>
    <col min="3582" max="3582" width="8.25" style="1" customWidth="1"/>
    <col min="3583" max="3583" width="9.125" style="1" customWidth="1"/>
    <col min="3584" max="3584" width="13.5" style="1" bestFit="1" customWidth="1"/>
    <col min="3585" max="3585" width="5.125" style="1" customWidth="1"/>
    <col min="3586" max="3586" width="9.5" style="1" customWidth="1"/>
    <col min="3587" max="3588" width="9.25" style="1" bestFit="1" customWidth="1"/>
    <col min="3589" max="3826" width="9" style="1"/>
    <col min="3827" max="3827" width="1" style="1" customWidth="1"/>
    <col min="3828" max="3828" width="3.75" style="1" bestFit="1" customWidth="1"/>
    <col min="3829" max="3829" width="5" style="1" bestFit="1" customWidth="1"/>
    <col min="3830" max="3830" width="8.75" style="1" bestFit="1" customWidth="1"/>
    <col min="3831" max="3831" width="6.5" style="1" bestFit="1" customWidth="1"/>
    <col min="3832" max="3833" width="8" style="1" customWidth="1"/>
    <col min="3834" max="3834" width="12" style="1" customWidth="1"/>
    <col min="3835" max="3835" width="6.75" style="1" customWidth="1"/>
    <col min="3836" max="3836" width="7.375" style="1" customWidth="1"/>
    <col min="3837" max="3837" width="7.75" style="1" customWidth="1"/>
    <col min="3838" max="3838" width="8.25" style="1" customWidth="1"/>
    <col min="3839" max="3839" width="9.125" style="1" customWidth="1"/>
    <col min="3840" max="3840" width="13.5" style="1" bestFit="1" customWidth="1"/>
    <col min="3841" max="3841" width="5.125" style="1" customWidth="1"/>
    <col min="3842" max="3842" width="9.5" style="1" customWidth="1"/>
    <col min="3843" max="3844" width="9.25" style="1" bestFit="1" customWidth="1"/>
    <col min="3845" max="4082" width="9" style="1"/>
    <col min="4083" max="4083" width="1" style="1" customWidth="1"/>
    <col min="4084" max="4084" width="3.75" style="1" bestFit="1" customWidth="1"/>
    <col min="4085" max="4085" width="5" style="1" bestFit="1" customWidth="1"/>
    <col min="4086" max="4086" width="8.75" style="1" bestFit="1" customWidth="1"/>
    <col min="4087" max="4087" width="6.5" style="1" bestFit="1" customWidth="1"/>
    <col min="4088" max="4089" width="8" style="1" customWidth="1"/>
    <col min="4090" max="4090" width="12" style="1" customWidth="1"/>
    <col min="4091" max="4091" width="6.75" style="1" customWidth="1"/>
    <col min="4092" max="4092" width="7.375" style="1" customWidth="1"/>
    <col min="4093" max="4093" width="7.75" style="1" customWidth="1"/>
    <col min="4094" max="4094" width="8.25" style="1" customWidth="1"/>
    <col min="4095" max="4095" width="9.125" style="1" customWidth="1"/>
    <col min="4096" max="4096" width="13.5" style="1" bestFit="1" customWidth="1"/>
    <col min="4097" max="4097" width="5.125" style="1" customWidth="1"/>
    <col min="4098" max="4098" width="9.5" style="1" customWidth="1"/>
    <col min="4099" max="4100" width="9.25" style="1" bestFit="1" customWidth="1"/>
    <col min="4101" max="4338" width="9" style="1"/>
    <col min="4339" max="4339" width="1" style="1" customWidth="1"/>
    <col min="4340" max="4340" width="3.75" style="1" bestFit="1" customWidth="1"/>
    <col min="4341" max="4341" width="5" style="1" bestFit="1" customWidth="1"/>
    <col min="4342" max="4342" width="8.75" style="1" bestFit="1" customWidth="1"/>
    <col min="4343" max="4343" width="6.5" style="1" bestFit="1" customWidth="1"/>
    <col min="4344" max="4345" width="8" style="1" customWidth="1"/>
    <col min="4346" max="4346" width="12" style="1" customWidth="1"/>
    <col min="4347" max="4347" width="6.75" style="1" customWidth="1"/>
    <col min="4348" max="4348" width="7.375" style="1" customWidth="1"/>
    <col min="4349" max="4349" width="7.75" style="1" customWidth="1"/>
    <col min="4350" max="4350" width="8.25" style="1" customWidth="1"/>
    <col min="4351" max="4351" width="9.125" style="1" customWidth="1"/>
    <col min="4352" max="4352" width="13.5" style="1" bestFit="1" customWidth="1"/>
    <col min="4353" max="4353" width="5.125" style="1" customWidth="1"/>
    <col min="4354" max="4354" width="9.5" style="1" customWidth="1"/>
    <col min="4355" max="4356" width="9.25" style="1" bestFit="1" customWidth="1"/>
    <col min="4357" max="4594" width="9" style="1"/>
    <col min="4595" max="4595" width="1" style="1" customWidth="1"/>
    <col min="4596" max="4596" width="3.75" style="1" bestFit="1" customWidth="1"/>
    <col min="4597" max="4597" width="5" style="1" bestFit="1" customWidth="1"/>
    <col min="4598" max="4598" width="8.75" style="1" bestFit="1" customWidth="1"/>
    <col min="4599" max="4599" width="6.5" style="1" bestFit="1" customWidth="1"/>
    <col min="4600" max="4601" width="8" style="1" customWidth="1"/>
    <col min="4602" max="4602" width="12" style="1" customWidth="1"/>
    <col min="4603" max="4603" width="6.75" style="1" customWidth="1"/>
    <col min="4604" max="4604" width="7.375" style="1" customWidth="1"/>
    <col min="4605" max="4605" width="7.75" style="1" customWidth="1"/>
    <col min="4606" max="4606" width="8.25" style="1" customWidth="1"/>
    <col min="4607" max="4607" width="9.125" style="1" customWidth="1"/>
    <col min="4608" max="4608" width="13.5" style="1" bestFit="1" customWidth="1"/>
    <col min="4609" max="4609" width="5.125" style="1" customWidth="1"/>
    <col min="4610" max="4610" width="9.5" style="1" customWidth="1"/>
    <col min="4611" max="4612" width="9.25" style="1" bestFit="1" customWidth="1"/>
    <col min="4613" max="4850" width="9" style="1"/>
    <col min="4851" max="4851" width="1" style="1" customWidth="1"/>
    <col min="4852" max="4852" width="3.75" style="1" bestFit="1" customWidth="1"/>
    <col min="4853" max="4853" width="5" style="1" bestFit="1" customWidth="1"/>
    <col min="4854" max="4854" width="8.75" style="1" bestFit="1" customWidth="1"/>
    <col min="4855" max="4855" width="6.5" style="1" bestFit="1" customWidth="1"/>
    <col min="4856" max="4857" width="8" style="1" customWidth="1"/>
    <col min="4858" max="4858" width="12" style="1" customWidth="1"/>
    <col min="4859" max="4859" width="6.75" style="1" customWidth="1"/>
    <col min="4860" max="4860" width="7.375" style="1" customWidth="1"/>
    <col min="4861" max="4861" width="7.75" style="1" customWidth="1"/>
    <col min="4862" max="4862" width="8.25" style="1" customWidth="1"/>
    <col min="4863" max="4863" width="9.125" style="1" customWidth="1"/>
    <col min="4864" max="4864" width="13.5" style="1" bestFit="1" customWidth="1"/>
    <col min="4865" max="4865" width="5.125" style="1" customWidth="1"/>
    <col min="4866" max="4866" width="9.5" style="1" customWidth="1"/>
    <col min="4867" max="4868" width="9.25" style="1" bestFit="1" customWidth="1"/>
    <col min="4869" max="5106" width="9" style="1"/>
    <col min="5107" max="5107" width="1" style="1" customWidth="1"/>
    <col min="5108" max="5108" width="3.75" style="1" bestFit="1" customWidth="1"/>
    <col min="5109" max="5109" width="5" style="1" bestFit="1" customWidth="1"/>
    <col min="5110" max="5110" width="8.75" style="1" bestFit="1" customWidth="1"/>
    <col min="5111" max="5111" width="6.5" style="1" bestFit="1" customWidth="1"/>
    <col min="5112" max="5113" width="8" style="1" customWidth="1"/>
    <col min="5114" max="5114" width="12" style="1" customWidth="1"/>
    <col min="5115" max="5115" width="6.75" style="1" customWidth="1"/>
    <col min="5116" max="5116" width="7.375" style="1" customWidth="1"/>
    <col min="5117" max="5117" width="7.75" style="1" customWidth="1"/>
    <col min="5118" max="5118" width="8.25" style="1" customWidth="1"/>
    <col min="5119" max="5119" width="9.125" style="1" customWidth="1"/>
    <col min="5120" max="5120" width="13.5" style="1" bestFit="1" customWidth="1"/>
    <col min="5121" max="5121" width="5.125" style="1" customWidth="1"/>
    <col min="5122" max="5122" width="9.5" style="1" customWidth="1"/>
    <col min="5123" max="5124" width="9.25" style="1" bestFit="1" customWidth="1"/>
    <col min="5125" max="5362" width="9" style="1"/>
    <col min="5363" max="5363" width="1" style="1" customWidth="1"/>
    <col min="5364" max="5364" width="3.75" style="1" bestFit="1" customWidth="1"/>
    <col min="5365" max="5365" width="5" style="1" bestFit="1" customWidth="1"/>
    <col min="5366" max="5366" width="8.75" style="1" bestFit="1" customWidth="1"/>
    <col min="5367" max="5367" width="6.5" style="1" bestFit="1" customWidth="1"/>
    <col min="5368" max="5369" width="8" style="1" customWidth="1"/>
    <col min="5370" max="5370" width="12" style="1" customWidth="1"/>
    <col min="5371" max="5371" width="6.75" style="1" customWidth="1"/>
    <col min="5372" max="5372" width="7.375" style="1" customWidth="1"/>
    <col min="5373" max="5373" width="7.75" style="1" customWidth="1"/>
    <col min="5374" max="5374" width="8.25" style="1" customWidth="1"/>
    <col min="5375" max="5375" width="9.125" style="1" customWidth="1"/>
    <col min="5376" max="5376" width="13.5" style="1" bestFit="1" customWidth="1"/>
    <col min="5377" max="5377" width="5.125" style="1" customWidth="1"/>
    <col min="5378" max="5378" width="9.5" style="1" customWidth="1"/>
    <col min="5379" max="5380" width="9.25" style="1" bestFit="1" customWidth="1"/>
    <col min="5381" max="5618" width="9" style="1"/>
    <col min="5619" max="5619" width="1" style="1" customWidth="1"/>
    <col min="5620" max="5620" width="3.75" style="1" bestFit="1" customWidth="1"/>
    <col min="5621" max="5621" width="5" style="1" bestFit="1" customWidth="1"/>
    <col min="5622" max="5622" width="8.75" style="1" bestFit="1" customWidth="1"/>
    <col min="5623" max="5623" width="6.5" style="1" bestFit="1" customWidth="1"/>
    <col min="5624" max="5625" width="8" style="1" customWidth="1"/>
    <col min="5626" max="5626" width="12" style="1" customWidth="1"/>
    <col min="5627" max="5627" width="6.75" style="1" customWidth="1"/>
    <col min="5628" max="5628" width="7.375" style="1" customWidth="1"/>
    <col min="5629" max="5629" width="7.75" style="1" customWidth="1"/>
    <col min="5630" max="5630" width="8.25" style="1" customWidth="1"/>
    <col min="5631" max="5631" width="9.125" style="1" customWidth="1"/>
    <col min="5632" max="5632" width="13.5" style="1" bestFit="1" customWidth="1"/>
    <col min="5633" max="5633" width="5.125" style="1" customWidth="1"/>
    <col min="5634" max="5634" width="9.5" style="1" customWidth="1"/>
    <col min="5635" max="5636" width="9.25" style="1" bestFit="1" customWidth="1"/>
    <col min="5637" max="5874" width="9" style="1"/>
    <col min="5875" max="5875" width="1" style="1" customWidth="1"/>
    <col min="5876" max="5876" width="3.75" style="1" bestFit="1" customWidth="1"/>
    <col min="5877" max="5877" width="5" style="1" bestFit="1" customWidth="1"/>
    <col min="5878" max="5878" width="8.75" style="1" bestFit="1" customWidth="1"/>
    <col min="5879" max="5879" width="6.5" style="1" bestFit="1" customWidth="1"/>
    <col min="5880" max="5881" width="8" style="1" customWidth="1"/>
    <col min="5882" max="5882" width="12" style="1" customWidth="1"/>
    <col min="5883" max="5883" width="6.75" style="1" customWidth="1"/>
    <col min="5884" max="5884" width="7.375" style="1" customWidth="1"/>
    <col min="5885" max="5885" width="7.75" style="1" customWidth="1"/>
    <col min="5886" max="5886" width="8.25" style="1" customWidth="1"/>
    <col min="5887" max="5887" width="9.125" style="1" customWidth="1"/>
    <col min="5888" max="5888" width="13.5" style="1" bestFit="1" customWidth="1"/>
    <col min="5889" max="5889" width="5.125" style="1" customWidth="1"/>
    <col min="5890" max="5890" width="9.5" style="1" customWidth="1"/>
    <col min="5891" max="5892" width="9.25" style="1" bestFit="1" customWidth="1"/>
    <col min="5893" max="6130" width="9" style="1"/>
    <col min="6131" max="6131" width="1" style="1" customWidth="1"/>
    <col min="6132" max="6132" width="3.75" style="1" bestFit="1" customWidth="1"/>
    <col min="6133" max="6133" width="5" style="1" bestFit="1" customWidth="1"/>
    <col min="6134" max="6134" width="8.75" style="1" bestFit="1" customWidth="1"/>
    <col min="6135" max="6135" width="6.5" style="1" bestFit="1" customWidth="1"/>
    <col min="6136" max="6137" width="8" style="1" customWidth="1"/>
    <col min="6138" max="6138" width="12" style="1" customWidth="1"/>
    <col min="6139" max="6139" width="6.75" style="1" customWidth="1"/>
    <col min="6140" max="6140" width="7.375" style="1" customWidth="1"/>
    <col min="6141" max="6141" width="7.75" style="1" customWidth="1"/>
    <col min="6142" max="6142" width="8.25" style="1" customWidth="1"/>
    <col min="6143" max="6143" width="9.125" style="1" customWidth="1"/>
    <col min="6144" max="6144" width="13.5" style="1" bestFit="1" customWidth="1"/>
    <col min="6145" max="6145" width="5.125" style="1" customWidth="1"/>
    <col min="6146" max="6146" width="9.5" style="1" customWidth="1"/>
    <col min="6147" max="6148" width="9.25" style="1" bestFit="1" customWidth="1"/>
    <col min="6149" max="6386" width="9" style="1"/>
    <col min="6387" max="6387" width="1" style="1" customWidth="1"/>
    <col min="6388" max="6388" width="3.75" style="1" bestFit="1" customWidth="1"/>
    <col min="6389" max="6389" width="5" style="1" bestFit="1" customWidth="1"/>
    <col min="6390" max="6390" width="8.75" style="1" bestFit="1" customWidth="1"/>
    <col min="6391" max="6391" width="6.5" style="1" bestFit="1" customWidth="1"/>
    <col min="6392" max="6393" width="8" style="1" customWidth="1"/>
    <col min="6394" max="6394" width="12" style="1" customWidth="1"/>
    <col min="6395" max="6395" width="6.75" style="1" customWidth="1"/>
    <col min="6396" max="6396" width="7.375" style="1" customWidth="1"/>
    <col min="6397" max="6397" width="7.75" style="1" customWidth="1"/>
    <col min="6398" max="6398" width="8.25" style="1" customWidth="1"/>
    <col min="6399" max="6399" width="9.125" style="1" customWidth="1"/>
    <col min="6400" max="6400" width="13.5" style="1" bestFit="1" customWidth="1"/>
    <col min="6401" max="6401" width="5.125" style="1" customWidth="1"/>
    <col min="6402" max="6402" width="9.5" style="1" customWidth="1"/>
    <col min="6403" max="6404" width="9.25" style="1" bestFit="1" customWidth="1"/>
    <col min="6405" max="6642" width="9" style="1"/>
    <col min="6643" max="6643" width="1" style="1" customWidth="1"/>
    <col min="6644" max="6644" width="3.75" style="1" bestFit="1" customWidth="1"/>
    <col min="6645" max="6645" width="5" style="1" bestFit="1" customWidth="1"/>
    <col min="6646" max="6646" width="8.75" style="1" bestFit="1" customWidth="1"/>
    <col min="6647" max="6647" width="6.5" style="1" bestFit="1" customWidth="1"/>
    <col min="6648" max="6649" width="8" style="1" customWidth="1"/>
    <col min="6650" max="6650" width="12" style="1" customWidth="1"/>
    <col min="6651" max="6651" width="6.75" style="1" customWidth="1"/>
    <col min="6652" max="6652" width="7.375" style="1" customWidth="1"/>
    <col min="6653" max="6653" width="7.75" style="1" customWidth="1"/>
    <col min="6654" max="6654" width="8.25" style="1" customWidth="1"/>
    <col min="6655" max="6655" width="9.125" style="1" customWidth="1"/>
    <col min="6656" max="6656" width="13.5" style="1" bestFit="1" customWidth="1"/>
    <col min="6657" max="6657" width="5.125" style="1" customWidth="1"/>
    <col min="6658" max="6658" width="9.5" style="1" customWidth="1"/>
    <col min="6659" max="6660" width="9.25" style="1" bestFit="1" customWidth="1"/>
    <col min="6661" max="6898" width="9" style="1"/>
    <col min="6899" max="6899" width="1" style="1" customWidth="1"/>
    <col min="6900" max="6900" width="3.75" style="1" bestFit="1" customWidth="1"/>
    <col min="6901" max="6901" width="5" style="1" bestFit="1" customWidth="1"/>
    <col min="6902" max="6902" width="8.75" style="1" bestFit="1" customWidth="1"/>
    <col min="6903" max="6903" width="6.5" style="1" bestFit="1" customWidth="1"/>
    <col min="6904" max="6905" width="8" style="1" customWidth="1"/>
    <col min="6906" max="6906" width="12" style="1" customWidth="1"/>
    <col min="6907" max="6907" width="6.75" style="1" customWidth="1"/>
    <col min="6908" max="6908" width="7.375" style="1" customWidth="1"/>
    <col min="6909" max="6909" width="7.75" style="1" customWidth="1"/>
    <col min="6910" max="6910" width="8.25" style="1" customWidth="1"/>
    <col min="6911" max="6911" width="9.125" style="1" customWidth="1"/>
    <col min="6912" max="6912" width="13.5" style="1" bestFit="1" customWidth="1"/>
    <col min="6913" max="6913" width="5.125" style="1" customWidth="1"/>
    <col min="6914" max="6914" width="9.5" style="1" customWidth="1"/>
    <col min="6915" max="6916" width="9.25" style="1" bestFit="1" customWidth="1"/>
    <col min="6917" max="7154" width="9" style="1"/>
    <col min="7155" max="7155" width="1" style="1" customWidth="1"/>
    <col min="7156" max="7156" width="3.75" style="1" bestFit="1" customWidth="1"/>
    <col min="7157" max="7157" width="5" style="1" bestFit="1" customWidth="1"/>
    <col min="7158" max="7158" width="8.75" style="1" bestFit="1" customWidth="1"/>
    <col min="7159" max="7159" width="6.5" style="1" bestFit="1" customWidth="1"/>
    <col min="7160" max="7161" width="8" style="1" customWidth="1"/>
    <col min="7162" max="7162" width="12" style="1" customWidth="1"/>
    <col min="7163" max="7163" width="6.75" style="1" customWidth="1"/>
    <col min="7164" max="7164" width="7.375" style="1" customWidth="1"/>
    <col min="7165" max="7165" width="7.75" style="1" customWidth="1"/>
    <col min="7166" max="7166" width="8.25" style="1" customWidth="1"/>
    <col min="7167" max="7167" width="9.125" style="1" customWidth="1"/>
    <col min="7168" max="7168" width="13.5" style="1" bestFit="1" customWidth="1"/>
    <col min="7169" max="7169" width="5.125" style="1" customWidth="1"/>
    <col min="7170" max="7170" width="9.5" style="1" customWidth="1"/>
    <col min="7171" max="7172" width="9.25" style="1" bestFit="1" customWidth="1"/>
    <col min="7173" max="7410" width="9" style="1"/>
    <col min="7411" max="7411" width="1" style="1" customWidth="1"/>
    <col min="7412" max="7412" width="3.75" style="1" bestFit="1" customWidth="1"/>
    <col min="7413" max="7413" width="5" style="1" bestFit="1" customWidth="1"/>
    <col min="7414" max="7414" width="8.75" style="1" bestFit="1" customWidth="1"/>
    <col min="7415" max="7415" width="6.5" style="1" bestFit="1" customWidth="1"/>
    <col min="7416" max="7417" width="8" style="1" customWidth="1"/>
    <col min="7418" max="7418" width="12" style="1" customWidth="1"/>
    <col min="7419" max="7419" width="6.75" style="1" customWidth="1"/>
    <col min="7420" max="7420" width="7.375" style="1" customWidth="1"/>
    <col min="7421" max="7421" width="7.75" style="1" customWidth="1"/>
    <col min="7422" max="7422" width="8.25" style="1" customWidth="1"/>
    <col min="7423" max="7423" width="9.125" style="1" customWidth="1"/>
    <col min="7424" max="7424" width="13.5" style="1" bestFit="1" customWidth="1"/>
    <col min="7425" max="7425" width="5.125" style="1" customWidth="1"/>
    <col min="7426" max="7426" width="9.5" style="1" customWidth="1"/>
    <col min="7427" max="7428" width="9.25" style="1" bestFit="1" customWidth="1"/>
    <col min="7429" max="7666" width="9" style="1"/>
    <col min="7667" max="7667" width="1" style="1" customWidth="1"/>
    <col min="7668" max="7668" width="3.75" style="1" bestFit="1" customWidth="1"/>
    <col min="7669" max="7669" width="5" style="1" bestFit="1" customWidth="1"/>
    <col min="7670" max="7670" width="8.75" style="1" bestFit="1" customWidth="1"/>
    <col min="7671" max="7671" width="6.5" style="1" bestFit="1" customWidth="1"/>
    <col min="7672" max="7673" width="8" style="1" customWidth="1"/>
    <col min="7674" max="7674" width="12" style="1" customWidth="1"/>
    <col min="7675" max="7675" width="6.75" style="1" customWidth="1"/>
    <col min="7676" max="7676" width="7.375" style="1" customWidth="1"/>
    <col min="7677" max="7677" width="7.75" style="1" customWidth="1"/>
    <col min="7678" max="7678" width="8.25" style="1" customWidth="1"/>
    <col min="7679" max="7679" width="9.125" style="1" customWidth="1"/>
    <col min="7680" max="7680" width="13.5" style="1" bestFit="1" customWidth="1"/>
    <col min="7681" max="7681" width="5.125" style="1" customWidth="1"/>
    <col min="7682" max="7682" width="9.5" style="1" customWidth="1"/>
    <col min="7683" max="7684" width="9.25" style="1" bestFit="1" customWidth="1"/>
    <col min="7685" max="7922" width="9" style="1"/>
    <col min="7923" max="7923" width="1" style="1" customWidth="1"/>
    <col min="7924" max="7924" width="3.75" style="1" bestFit="1" customWidth="1"/>
    <col min="7925" max="7925" width="5" style="1" bestFit="1" customWidth="1"/>
    <col min="7926" max="7926" width="8.75" style="1" bestFit="1" customWidth="1"/>
    <col min="7927" max="7927" width="6.5" style="1" bestFit="1" customWidth="1"/>
    <col min="7928" max="7929" width="8" style="1" customWidth="1"/>
    <col min="7930" max="7930" width="12" style="1" customWidth="1"/>
    <col min="7931" max="7931" width="6.75" style="1" customWidth="1"/>
    <col min="7932" max="7932" width="7.375" style="1" customWidth="1"/>
    <col min="7933" max="7933" width="7.75" style="1" customWidth="1"/>
    <col min="7934" max="7934" width="8.25" style="1" customWidth="1"/>
    <col min="7935" max="7935" width="9.125" style="1" customWidth="1"/>
    <col min="7936" max="7936" width="13.5" style="1" bestFit="1" customWidth="1"/>
    <col min="7937" max="7937" width="5.125" style="1" customWidth="1"/>
    <col min="7938" max="7938" width="9.5" style="1" customWidth="1"/>
    <col min="7939" max="7940" width="9.25" style="1" bestFit="1" customWidth="1"/>
    <col min="7941" max="8178" width="9" style="1"/>
    <col min="8179" max="8179" width="1" style="1" customWidth="1"/>
    <col min="8180" max="8180" width="3.75" style="1" bestFit="1" customWidth="1"/>
    <col min="8181" max="8181" width="5" style="1" bestFit="1" customWidth="1"/>
    <col min="8182" max="8182" width="8.75" style="1" bestFit="1" customWidth="1"/>
    <col min="8183" max="8183" width="6.5" style="1" bestFit="1" customWidth="1"/>
    <col min="8184" max="8185" width="8" style="1" customWidth="1"/>
    <col min="8186" max="8186" width="12" style="1" customWidth="1"/>
    <col min="8187" max="8187" width="6.75" style="1" customWidth="1"/>
    <col min="8188" max="8188" width="7.375" style="1" customWidth="1"/>
    <col min="8189" max="8189" width="7.75" style="1" customWidth="1"/>
    <col min="8190" max="8190" width="8.25" style="1" customWidth="1"/>
    <col min="8191" max="8191" width="9.125" style="1" customWidth="1"/>
    <col min="8192" max="8192" width="13.5" style="1" bestFit="1" customWidth="1"/>
    <col min="8193" max="8193" width="5.125" style="1" customWidth="1"/>
    <col min="8194" max="8194" width="9.5" style="1" customWidth="1"/>
    <col min="8195" max="8196" width="9.25" style="1" bestFit="1" customWidth="1"/>
    <col min="8197" max="8434" width="9" style="1"/>
    <col min="8435" max="8435" width="1" style="1" customWidth="1"/>
    <col min="8436" max="8436" width="3.75" style="1" bestFit="1" customWidth="1"/>
    <col min="8437" max="8437" width="5" style="1" bestFit="1" customWidth="1"/>
    <col min="8438" max="8438" width="8.75" style="1" bestFit="1" customWidth="1"/>
    <col min="8439" max="8439" width="6.5" style="1" bestFit="1" customWidth="1"/>
    <col min="8440" max="8441" width="8" style="1" customWidth="1"/>
    <col min="8442" max="8442" width="12" style="1" customWidth="1"/>
    <col min="8443" max="8443" width="6.75" style="1" customWidth="1"/>
    <col min="8444" max="8444" width="7.375" style="1" customWidth="1"/>
    <col min="8445" max="8445" width="7.75" style="1" customWidth="1"/>
    <col min="8446" max="8446" width="8.25" style="1" customWidth="1"/>
    <col min="8447" max="8447" width="9.125" style="1" customWidth="1"/>
    <col min="8448" max="8448" width="13.5" style="1" bestFit="1" customWidth="1"/>
    <col min="8449" max="8449" width="5.125" style="1" customWidth="1"/>
    <col min="8450" max="8450" width="9.5" style="1" customWidth="1"/>
    <col min="8451" max="8452" width="9.25" style="1" bestFit="1" customWidth="1"/>
    <col min="8453" max="8690" width="9" style="1"/>
    <col min="8691" max="8691" width="1" style="1" customWidth="1"/>
    <col min="8692" max="8692" width="3.75" style="1" bestFit="1" customWidth="1"/>
    <col min="8693" max="8693" width="5" style="1" bestFit="1" customWidth="1"/>
    <col min="8694" max="8694" width="8.75" style="1" bestFit="1" customWidth="1"/>
    <col min="8695" max="8695" width="6.5" style="1" bestFit="1" customWidth="1"/>
    <col min="8696" max="8697" width="8" style="1" customWidth="1"/>
    <col min="8698" max="8698" width="12" style="1" customWidth="1"/>
    <col min="8699" max="8699" width="6.75" style="1" customWidth="1"/>
    <col min="8700" max="8700" width="7.375" style="1" customWidth="1"/>
    <col min="8701" max="8701" width="7.75" style="1" customWidth="1"/>
    <col min="8702" max="8702" width="8.25" style="1" customWidth="1"/>
    <col min="8703" max="8703" width="9.125" style="1" customWidth="1"/>
    <col min="8704" max="8704" width="13.5" style="1" bestFit="1" customWidth="1"/>
    <col min="8705" max="8705" width="5.125" style="1" customWidth="1"/>
    <col min="8706" max="8706" width="9.5" style="1" customWidth="1"/>
    <col min="8707" max="8708" width="9.25" style="1" bestFit="1" customWidth="1"/>
    <col min="8709" max="8946" width="9" style="1"/>
    <col min="8947" max="8947" width="1" style="1" customWidth="1"/>
    <col min="8948" max="8948" width="3.75" style="1" bestFit="1" customWidth="1"/>
    <col min="8949" max="8949" width="5" style="1" bestFit="1" customWidth="1"/>
    <col min="8950" max="8950" width="8.75" style="1" bestFit="1" customWidth="1"/>
    <col min="8951" max="8951" width="6.5" style="1" bestFit="1" customWidth="1"/>
    <col min="8952" max="8953" width="8" style="1" customWidth="1"/>
    <col min="8954" max="8954" width="12" style="1" customWidth="1"/>
    <col min="8955" max="8955" width="6.75" style="1" customWidth="1"/>
    <col min="8956" max="8956" width="7.375" style="1" customWidth="1"/>
    <col min="8957" max="8957" width="7.75" style="1" customWidth="1"/>
    <col min="8958" max="8958" width="8.25" style="1" customWidth="1"/>
    <col min="8959" max="8959" width="9.125" style="1" customWidth="1"/>
    <col min="8960" max="8960" width="13.5" style="1" bestFit="1" customWidth="1"/>
    <col min="8961" max="8961" width="5.125" style="1" customWidth="1"/>
    <col min="8962" max="8962" width="9.5" style="1" customWidth="1"/>
    <col min="8963" max="8964" width="9.25" style="1" bestFit="1" customWidth="1"/>
    <col min="8965" max="9202" width="9" style="1"/>
    <col min="9203" max="9203" width="1" style="1" customWidth="1"/>
    <col min="9204" max="9204" width="3.75" style="1" bestFit="1" customWidth="1"/>
    <col min="9205" max="9205" width="5" style="1" bestFit="1" customWidth="1"/>
    <col min="9206" max="9206" width="8.75" style="1" bestFit="1" customWidth="1"/>
    <col min="9207" max="9207" width="6.5" style="1" bestFit="1" customWidth="1"/>
    <col min="9208" max="9209" width="8" style="1" customWidth="1"/>
    <col min="9210" max="9210" width="12" style="1" customWidth="1"/>
    <col min="9211" max="9211" width="6.75" style="1" customWidth="1"/>
    <col min="9212" max="9212" width="7.375" style="1" customWidth="1"/>
    <col min="9213" max="9213" width="7.75" style="1" customWidth="1"/>
    <col min="9214" max="9214" width="8.25" style="1" customWidth="1"/>
    <col min="9215" max="9215" width="9.125" style="1" customWidth="1"/>
    <col min="9216" max="9216" width="13.5" style="1" bestFit="1" customWidth="1"/>
    <col min="9217" max="9217" width="5.125" style="1" customWidth="1"/>
    <col min="9218" max="9218" width="9.5" style="1" customWidth="1"/>
    <col min="9219" max="9220" width="9.25" style="1" bestFit="1" customWidth="1"/>
    <col min="9221" max="9458" width="9" style="1"/>
    <col min="9459" max="9459" width="1" style="1" customWidth="1"/>
    <col min="9460" max="9460" width="3.75" style="1" bestFit="1" customWidth="1"/>
    <col min="9461" max="9461" width="5" style="1" bestFit="1" customWidth="1"/>
    <col min="9462" max="9462" width="8.75" style="1" bestFit="1" customWidth="1"/>
    <col min="9463" max="9463" width="6.5" style="1" bestFit="1" customWidth="1"/>
    <col min="9464" max="9465" width="8" style="1" customWidth="1"/>
    <col min="9466" max="9466" width="12" style="1" customWidth="1"/>
    <col min="9467" max="9467" width="6.75" style="1" customWidth="1"/>
    <col min="9468" max="9468" width="7.375" style="1" customWidth="1"/>
    <col min="9469" max="9469" width="7.75" style="1" customWidth="1"/>
    <col min="9470" max="9470" width="8.25" style="1" customWidth="1"/>
    <col min="9471" max="9471" width="9.125" style="1" customWidth="1"/>
    <col min="9472" max="9472" width="13.5" style="1" bestFit="1" customWidth="1"/>
    <col min="9473" max="9473" width="5.125" style="1" customWidth="1"/>
    <col min="9474" max="9474" width="9.5" style="1" customWidth="1"/>
    <col min="9475" max="9476" width="9.25" style="1" bestFit="1" customWidth="1"/>
    <col min="9477" max="9714" width="9" style="1"/>
    <col min="9715" max="9715" width="1" style="1" customWidth="1"/>
    <col min="9716" max="9716" width="3.75" style="1" bestFit="1" customWidth="1"/>
    <col min="9717" max="9717" width="5" style="1" bestFit="1" customWidth="1"/>
    <col min="9718" max="9718" width="8.75" style="1" bestFit="1" customWidth="1"/>
    <col min="9719" max="9719" width="6.5" style="1" bestFit="1" customWidth="1"/>
    <col min="9720" max="9721" width="8" style="1" customWidth="1"/>
    <col min="9722" max="9722" width="12" style="1" customWidth="1"/>
    <col min="9723" max="9723" width="6.75" style="1" customWidth="1"/>
    <col min="9724" max="9724" width="7.375" style="1" customWidth="1"/>
    <col min="9725" max="9725" width="7.75" style="1" customWidth="1"/>
    <col min="9726" max="9726" width="8.25" style="1" customWidth="1"/>
    <col min="9727" max="9727" width="9.125" style="1" customWidth="1"/>
    <col min="9728" max="9728" width="13.5" style="1" bestFit="1" customWidth="1"/>
    <col min="9729" max="9729" width="5.125" style="1" customWidth="1"/>
    <col min="9730" max="9730" width="9.5" style="1" customWidth="1"/>
    <col min="9731" max="9732" width="9.25" style="1" bestFit="1" customWidth="1"/>
    <col min="9733" max="9970" width="9" style="1"/>
    <col min="9971" max="9971" width="1" style="1" customWidth="1"/>
    <col min="9972" max="9972" width="3.75" style="1" bestFit="1" customWidth="1"/>
    <col min="9973" max="9973" width="5" style="1" bestFit="1" customWidth="1"/>
    <col min="9974" max="9974" width="8.75" style="1" bestFit="1" customWidth="1"/>
    <col min="9975" max="9975" width="6.5" style="1" bestFit="1" customWidth="1"/>
    <col min="9976" max="9977" width="8" style="1" customWidth="1"/>
    <col min="9978" max="9978" width="12" style="1" customWidth="1"/>
    <col min="9979" max="9979" width="6.75" style="1" customWidth="1"/>
    <col min="9980" max="9980" width="7.375" style="1" customWidth="1"/>
    <col min="9981" max="9981" width="7.75" style="1" customWidth="1"/>
    <col min="9982" max="9982" width="8.25" style="1" customWidth="1"/>
    <col min="9983" max="9983" width="9.125" style="1" customWidth="1"/>
    <col min="9984" max="9984" width="13.5" style="1" bestFit="1" customWidth="1"/>
    <col min="9985" max="9985" width="5.125" style="1" customWidth="1"/>
    <col min="9986" max="9986" width="9.5" style="1" customWidth="1"/>
    <col min="9987" max="9988" width="9.25" style="1" bestFit="1" customWidth="1"/>
    <col min="9989" max="10226" width="9" style="1"/>
    <col min="10227" max="10227" width="1" style="1" customWidth="1"/>
    <col min="10228" max="10228" width="3.75" style="1" bestFit="1" customWidth="1"/>
    <col min="10229" max="10229" width="5" style="1" bestFit="1" customWidth="1"/>
    <col min="10230" max="10230" width="8.75" style="1" bestFit="1" customWidth="1"/>
    <col min="10231" max="10231" width="6.5" style="1" bestFit="1" customWidth="1"/>
    <col min="10232" max="10233" width="8" style="1" customWidth="1"/>
    <col min="10234" max="10234" width="12" style="1" customWidth="1"/>
    <col min="10235" max="10235" width="6.75" style="1" customWidth="1"/>
    <col min="10236" max="10236" width="7.375" style="1" customWidth="1"/>
    <col min="10237" max="10237" width="7.75" style="1" customWidth="1"/>
    <col min="10238" max="10238" width="8.25" style="1" customWidth="1"/>
    <col min="10239" max="10239" width="9.125" style="1" customWidth="1"/>
    <col min="10240" max="10240" width="13.5" style="1" bestFit="1" customWidth="1"/>
    <col min="10241" max="10241" width="5.125" style="1" customWidth="1"/>
    <col min="10242" max="10242" width="9.5" style="1" customWidth="1"/>
    <col min="10243" max="10244" width="9.25" style="1" bestFit="1" customWidth="1"/>
    <col min="10245" max="10482" width="9" style="1"/>
    <col min="10483" max="10483" width="1" style="1" customWidth="1"/>
    <col min="10484" max="10484" width="3.75" style="1" bestFit="1" customWidth="1"/>
    <col min="10485" max="10485" width="5" style="1" bestFit="1" customWidth="1"/>
    <col min="10486" max="10486" width="8.75" style="1" bestFit="1" customWidth="1"/>
    <col min="10487" max="10487" width="6.5" style="1" bestFit="1" customWidth="1"/>
    <col min="10488" max="10489" width="8" style="1" customWidth="1"/>
    <col min="10490" max="10490" width="12" style="1" customWidth="1"/>
    <col min="10491" max="10491" width="6.75" style="1" customWidth="1"/>
    <col min="10492" max="10492" width="7.375" style="1" customWidth="1"/>
    <col min="10493" max="10493" width="7.75" style="1" customWidth="1"/>
    <col min="10494" max="10494" width="8.25" style="1" customWidth="1"/>
    <col min="10495" max="10495" width="9.125" style="1" customWidth="1"/>
    <col min="10496" max="10496" width="13.5" style="1" bestFit="1" customWidth="1"/>
    <col min="10497" max="10497" width="5.125" style="1" customWidth="1"/>
    <col min="10498" max="10498" width="9.5" style="1" customWidth="1"/>
    <col min="10499" max="10500" width="9.25" style="1" bestFit="1" customWidth="1"/>
    <col min="10501" max="10738" width="9" style="1"/>
    <col min="10739" max="10739" width="1" style="1" customWidth="1"/>
    <col min="10740" max="10740" width="3.75" style="1" bestFit="1" customWidth="1"/>
    <col min="10741" max="10741" width="5" style="1" bestFit="1" customWidth="1"/>
    <col min="10742" max="10742" width="8.75" style="1" bestFit="1" customWidth="1"/>
    <col min="10743" max="10743" width="6.5" style="1" bestFit="1" customWidth="1"/>
    <col min="10744" max="10745" width="8" style="1" customWidth="1"/>
    <col min="10746" max="10746" width="12" style="1" customWidth="1"/>
    <col min="10747" max="10747" width="6.75" style="1" customWidth="1"/>
    <col min="10748" max="10748" width="7.375" style="1" customWidth="1"/>
    <col min="10749" max="10749" width="7.75" style="1" customWidth="1"/>
    <col min="10750" max="10750" width="8.25" style="1" customWidth="1"/>
    <col min="10751" max="10751" width="9.125" style="1" customWidth="1"/>
    <col min="10752" max="10752" width="13.5" style="1" bestFit="1" customWidth="1"/>
    <col min="10753" max="10753" width="5.125" style="1" customWidth="1"/>
    <col min="10754" max="10754" width="9.5" style="1" customWidth="1"/>
    <col min="10755" max="10756" width="9.25" style="1" bestFit="1" customWidth="1"/>
    <col min="10757" max="10994" width="9" style="1"/>
    <col min="10995" max="10995" width="1" style="1" customWidth="1"/>
    <col min="10996" max="10996" width="3.75" style="1" bestFit="1" customWidth="1"/>
    <col min="10997" max="10997" width="5" style="1" bestFit="1" customWidth="1"/>
    <col min="10998" max="10998" width="8.75" style="1" bestFit="1" customWidth="1"/>
    <col min="10999" max="10999" width="6.5" style="1" bestFit="1" customWidth="1"/>
    <col min="11000" max="11001" width="8" style="1" customWidth="1"/>
    <col min="11002" max="11002" width="12" style="1" customWidth="1"/>
    <col min="11003" max="11003" width="6.75" style="1" customWidth="1"/>
    <col min="11004" max="11004" width="7.375" style="1" customWidth="1"/>
    <col min="11005" max="11005" width="7.75" style="1" customWidth="1"/>
    <col min="11006" max="11006" width="8.25" style="1" customWidth="1"/>
    <col min="11007" max="11007" width="9.125" style="1" customWidth="1"/>
    <col min="11008" max="11008" width="13.5" style="1" bestFit="1" customWidth="1"/>
    <col min="11009" max="11009" width="5.125" style="1" customWidth="1"/>
    <col min="11010" max="11010" width="9.5" style="1" customWidth="1"/>
    <col min="11011" max="11012" width="9.25" style="1" bestFit="1" customWidth="1"/>
    <col min="11013" max="11250" width="9" style="1"/>
    <col min="11251" max="11251" width="1" style="1" customWidth="1"/>
    <col min="11252" max="11252" width="3.75" style="1" bestFit="1" customWidth="1"/>
    <col min="11253" max="11253" width="5" style="1" bestFit="1" customWidth="1"/>
    <col min="11254" max="11254" width="8.75" style="1" bestFit="1" customWidth="1"/>
    <col min="11255" max="11255" width="6.5" style="1" bestFit="1" customWidth="1"/>
    <col min="11256" max="11257" width="8" style="1" customWidth="1"/>
    <col min="11258" max="11258" width="12" style="1" customWidth="1"/>
    <col min="11259" max="11259" width="6.75" style="1" customWidth="1"/>
    <col min="11260" max="11260" width="7.375" style="1" customWidth="1"/>
    <col min="11261" max="11261" width="7.75" style="1" customWidth="1"/>
    <col min="11262" max="11262" width="8.25" style="1" customWidth="1"/>
    <col min="11263" max="11263" width="9.125" style="1" customWidth="1"/>
    <col min="11264" max="11264" width="13.5" style="1" bestFit="1" customWidth="1"/>
    <col min="11265" max="11265" width="5.125" style="1" customWidth="1"/>
    <col min="11266" max="11266" width="9.5" style="1" customWidth="1"/>
    <col min="11267" max="11268" width="9.25" style="1" bestFit="1" customWidth="1"/>
    <col min="11269" max="11506" width="9" style="1"/>
    <col min="11507" max="11507" width="1" style="1" customWidth="1"/>
    <col min="11508" max="11508" width="3.75" style="1" bestFit="1" customWidth="1"/>
    <col min="11509" max="11509" width="5" style="1" bestFit="1" customWidth="1"/>
    <col min="11510" max="11510" width="8.75" style="1" bestFit="1" customWidth="1"/>
    <col min="11511" max="11511" width="6.5" style="1" bestFit="1" customWidth="1"/>
    <col min="11512" max="11513" width="8" style="1" customWidth="1"/>
    <col min="11514" max="11514" width="12" style="1" customWidth="1"/>
    <col min="11515" max="11515" width="6.75" style="1" customWidth="1"/>
    <col min="11516" max="11516" width="7.375" style="1" customWidth="1"/>
    <col min="11517" max="11517" width="7.75" style="1" customWidth="1"/>
    <col min="11518" max="11518" width="8.25" style="1" customWidth="1"/>
    <col min="11519" max="11519" width="9.125" style="1" customWidth="1"/>
    <col min="11520" max="11520" width="13.5" style="1" bestFit="1" customWidth="1"/>
    <col min="11521" max="11521" width="5.125" style="1" customWidth="1"/>
    <col min="11522" max="11522" width="9.5" style="1" customWidth="1"/>
    <col min="11523" max="11524" width="9.25" style="1" bestFit="1" customWidth="1"/>
    <col min="11525" max="11762" width="9" style="1"/>
    <col min="11763" max="11763" width="1" style="1" customWidth="1"/>
    <col min="11764" max="11764" width="3.75" style="1" bestFit="1" customWidth="1"/>
    <col min="11765" max="11765" width="5" style="1" bestFit="1" customWidth="1"/>
    <col min="11766" max="11766" width="8.75" style="1" bestFit="1" customWidth="1"/>
    <col min="11767" max="11767" width="6.5" style="1" bestFit="1" customWidth="1"/>
    <col min="11768" max="11769" width="8" style="1" customWidth="1"/>
    <col min="11770" max="11770" width="12" style="1" customWidth="1"/>
    <col min="11771" max="11771" width="6.75" style="1" customWidth="1"/>
    <col min="11772" max="11772" width="7.375" style="1" customWidth="1"/>
    <col min="11773" max="11773" width="7.75" style="1" customWidth="1"/>
    <col min="11774" max="11774" width="8.25" style="1" customWidth="1"/>
    <col min="11775" max="11775" width="9.125" style="1" customWidth="1"/>
    <col min="11776" max="11776" width="13.5" style="1" bestFit="1" customWidth="1"/>
    <col min="11777" max="11777" width="5.125" style="1" customWidth="1"/>
    <col min="11778" max="11778" width="9.5" style="1" customWidth="1"/>
    <col min="11779" max="11780" width="9.25" style="1" bestFit="1" customWidth="1"/>
    <col min="11781" max="12018" width="9" style="1"/>
    <col min="12019" max="12019" width="1" style="1" customWidth="1"/>
    <col min="12020" max="12020" width="3.75" style="1" bestFit="1" customWidth="1"/>
    <col min="12021" max="12021" width="5" style="1" bestFit="1" customWidth="1"/>
    <col min="12022" max="12022" width="8.75" style="1" bestFit="1" customWidth="1"/>
    <col min="12023" max="12023" width="6.5" style="1" bestFit="1" customWidth="1"/>
    <col min="12024" max="12025" width="8" style="1" customWidth="1"/>
    <col min="12026" max="12026" width="12" style="1" customWidth="1"/>
    <col min="12027" max="12027" width="6.75" style="1" customWidth="1"/>
    <col min="12028" max="12028" width="7.375" style="1" customWidth="1"/>
    <col min="12029" max="12029" width="7.75" style="1" customWidth="1"/>
    <col min="12030" max="12030" width="8.25" style="1" customWidth="1"/>
    <col min="12031" max="12031" width="9.125" style="1" customWidth="1"/>
    <col min="12032" max="12032" width="13.5" style="1" bestFit="1" customWidth="1"/>
    <col min="12033" max="12033" width="5.125" style="1" customWidth="1"/>
    <col min="12034" max="12034" width="9.5" style="1" customWidth="1"/>
    <col min="12035" max="12036" width="9.25" style="1" bestFit="1" customWidth="1"/>
    <col min="12037" max="12274" width="9" style="1"/>
    <col min="12275" max="12275" width="1" style="1" customWidth="1"/>
    <col min="12276" max="12276" width="3.75" style="1" bestFit="1" customWidth="1"/>
    <col min="12277" max="12277" width="5" style="1" bestFit="1" customWidth="1"/>
    <col min="12278" max="12278" width="8.75" style="1" bestFit="1" customWidth="1"/>
    <col min="12279" max="12279" width="6.5" style="1" bestFit="1" customWidth="1"/>
    <col min="12280" max="12281" width="8" style="1" customWidth="1"/>
    <col min="12282" max="12282" width="12" style="1" customWidth="1"/>
    <col min="12283" max="12283" width="6.75" style="1" customWidth="1"/>
    <col min="12284" max="12284" width="7.375" style="1" customWidth="1"/>
    <col min="12285" max="12285" width="7.75" style="1" customWidth="1"/>
    <col min="12286" max="12286" width="8.25" style="1" customWidth="1"/>
    <col min="12287" max="12287" width="9.125" style="1" customWidth="1"/>
    <col min="12288" max="12288" width="13.5" style="1" bestFit="1" customWidth="1"/>
    <col min="12289" max="12289" width="5.125" style="1" customWidth="1"/>
    <col min="12290" max="12290" width="9.5" style="1" customWidth="1"/>
    <col min="12291" max="12292" width="9.25" style="1" bestFit="1" customWidth="1"/>
    <col min="12293" max="12530" width="9" style="1"/>
    <col min="12531" max="12531" width="1" style="1" customWidth="1"/>
    <col min="12532" max="12532" width="3.75" style="1" bestFit="1" customWidth="1"/>
    <col min="12533" max="12533" width="5" style="1" bestFit="1" customWidth="1"/>
    <col min="12534" max="12534" width="8.75" style="1" bestFit="1" customWidth="1"/>
    <col min="12535" max="12535" width="6.5" style="1" bestFit="1" customWidth="1"/>
    <col min="12536" max="12537" width="8" style="1" customWidth="1"/>
    <col min="12538" max="12538" width="12" style="1" customWidth="1"/>
    <col min="12539" max="12539" width="6.75" style="1" customWidth="1"/>
    <col min="12540" max="12540" width="7.375" style="1" customWidth="1"/>
    <col min="12541" max="12541" width="7.75" style="1" customWidth="1"/>
    <col min="12542" max="12542" width="8.25" style="1" customWidth="1"/>
    <col min="12543" max="12543" width="9.125" style="1" customWidth="1"/>
    <col min="12544" max="12544" width="13.5" style="1" bestFit="1" customWidth="1"/>
    <col min="12545" max="12545" width="5.125" style="1" customWidth="1"/>
    <col min="12546" max="12546" width="9.5" style="1" customWidth="1"/>
    <col min="12547" max="12548" width="9.25" style="1" bestFit="1" customWidth="1"/>
    <col min="12549" max="12786" width="9" style="1"/>
    <col min="12787" max="12787" width="1" style="1" customWidth="1"/>
    <col min="12788" max="12788" width="3.75" style="1" bestFit="1" customWidth="1"/>
    <col min="12789" max="12789" width="5" style="1" bestFit="1" customWidth="1"/>
    <col min="12790" max="12790" width="8.75" style="1" bestFit="1" customWidth="1"/>
    <col min="12791" max="12791" width="6.5" style="1" bestFit="1" customWidth="1"/>
    <col min="12792" max="12793" width="8" style="1" customWidth="1"/>
    <col min="12794" max="12794" width="12" style="1" customWidth="1"/>
    <col min="12795" max="12795" width="6.75" style="1" customWidth="1"/>
    <col min="12796" max="12796" width="7.375" style="1" customWidth="1"/>
    <col min="12797" max="12797" width="7.75" style="1" customWidth="1"/>
    <col min="12798" max="12798" width="8.25" style="1" customWidth="1"/>
    <col min="12799" max="12799" width="9.125" style="1" customWidth="1"/>
    <col min="12800" max="12800" width="13.5" style="1" bestFit="1" customWidth="1"/>
    <col min="12801" max="12801" width="5.125" style="1" customWidth="1"/>
    <col min="12802" max="12802" width="9.5" style="1" customWidth="1"/>
    <col min="12803" max="12804" width="9.25" style="1" bestFit="1" customWidth="1"/>
    <col min="12805" max="13042" width="9" style="1"/>
    <col min="13043" max="13043" width="1" style="1" customWidth="1"/>
    <col min="13044" max="13044" width="3.75" style="1" bestFit="1" customWidth="1"/>
    <col min="13045" max="13045" width="5" style="1" bestFit="1" customWidth="1"/>
    <col min="13046" max="13046" width="8.75" style="1" bestFit="1" customWidth="1"/>
    <col min="13047" max="13047" width="6.5" style="1" bestFit="1" customWidth="1"/>
    <col min="13048" max="13049" width="8" style="1" customWidth="1"/>
    <col min="13050" max="13050" width="12" style="1" customWidth="1"/>
    <col min="13051" max="13051" width="6.75" style="1" customWidth="1"/>
    <col min="13052" max="13052" width="7.375" style="1" customWidth="1"/>
    <col min="13053" max="13053" width="7.75" style="1" customWidth="1"/>
    <col min="13054" max="13054" width="8.25" style="1" customWidth="1"/>
    <col min="13055" max="13055" width="9.125" style="1" customWidth="1"/>
    <col min="13056" max="13056" width="13.5" style="1" bestFit="1" customWidth="1"/>
    <col min="13057" max="13057" width="5.125" style="1" customWidth="1"/>
    <col min="13058" max="13058" width="9.5" style="1" customWidth="1"/>
    <col min="13059" max="13060" width="9.25" style="1" bestFit="1" customWidth="1"/>
    <col min="13061" max="13298" width="9" style="1"/>
    <col min="13299" max="13299" width="1" style="1" customWidth="1"/>
    <col min="13300" max="13300" width="3.75" style="1" bestFit="1" customWidth="1"/>
    <col min="13301" max="13301" width="5" style="1" bestFit="1" customWidth="1"/>
    <col min="13302" max="13302" width="8.75" style="1" bestFit="1" customWidth="1"/>
    <col min="13303" max="13303" width="6.5" style="1" bestFit="1" customWidth="1"/>
    <col min="13304" max="13305" width="8" style="1" customWidth="1"/>
    <col min="13306" max="13306" width="12" style="1" customWidth="1"/>
    <col min="13307" max="13307" width="6.75" style="1" customWidth="1"/>
    <col min="13308" max="13308" width="7.375" style="1" customWidth="1"/>
    <col min="13309" max="13309" width="7.75" style="1" customWidth="1"/>
    <col min="13310" max="13310" width="8.25" style="1" customWidth="1"/>
    <col min="13311" max="13311" width="9.125" style="1" customWidth="1"/>
    <col min="13312" max="13312" width="13.5" style="1" bestFit="1" customWidth="1"/>
    <col min="13313" max="13313" width="5.125" style="1" customWidth="1"/>
    <col min="13314" max="13314" width="9.5" style="1" customWidth="1"/>
    <col min="13315" max="13316" width="9.25" style="1" bestFit="1" customWidth="1"/>
    <col min="13317" max="13554" width="9" style="1"/>
    <col min="13555" max="13555" width="1" style="1" customWidth="1"/>
    <col min="13556" max="13556" width="3.75" style="1" bestFit="1" customWidth="1"/>
    <col min="13557" max="13557" width="5" style="1" bestFit="1" customWidth="1"/>
    <col min="13558" max="13558" width="8.75" style="1" bestFit="1" customWidth="1"/>
    <col min="13559" max="13559" width="6.5" style="1" bestFit="1" customWidth="1"/>
    <col min="13560" max="13561" width="8" style="1" customWidth="1"/>
    <col min="13562" max="13562" width="12" style="1" customWidth="1"/>
    <col min="13563" max="13563" width="6.75" style="1" customWidth="1"/>
    <col min="13564" max="13564" width="7.375" style="1" customWidth="1"/>
    <col min="13565" max="13565" width="7.75" style="1" customWidth="1"/>
    <col min="13566" max="13566" width="8.25" style="1" customWidth="1"/>
    <col min="13567" max="13567" width="9.125" style="1" customWidth="1"/>
    <col min="13568" max="13568" width="13.5" style="1" bestFit="1" customWidth="1"/>
    <col min="13569" max="13569" width="5.125" style="1" customWidth="1"/>
    <col min="13570" max="13570" width="9.5" style="1" customWidth="1"/>
    <col min="13571" max="13572" width="9.25" style="1" bestFit="1" customWidth="1"/>
    <col min="13573" max="13810" width="9" style="1"/>
    <col min="13811" max="13811" width="1" style="1" customWidth="1"/>
    <col min="13812" max="13812" width="3.75" style="1" bestFit="1" customWidth="1"/>
    <col min="13813" max="13813" width="5" style="1" bestFit="1" customWidth="1"/>
    <col min="13814" max="13814" width="8.75" style="1" bestFit="1" customWidth="1"/>
    <col min="13815" max="13815" width="6.5" style="1" bestFit="1" customWidth="1"/>
    <col min="13816" max="13817" width="8" style="1" customWidth="1"/>
    <col min="13818" max="13818" width="12" style="1" customWidth="1"/>
    <col min="13819" max="13819" width="6.75" style="1" customWidth="1"/>
    <col min="13820" max="13820" width="7.375" style="1" customWidth="1"/>
    <col min="13821" max="13821" width="7.75" style="1" customWidth="1"/>
    <col min="13822" max="13822" width="8.25" style="1" customWidth="1"/>
    <col min="13823" max="13823" width="9.125" style="1" customWidth="1"/>
    <col min="13824" max="13824" width="13.5" style="1" bestFit="1" customWidth="1"/>
    <col min="13825" max="13825" width="5.125" style="1" customWidth="1"/>
    <col min="13826" max="13826" width="9.5" style="1" customWidth="1"/>
    <col min="13827" max="13828" width="9.25" style="1" bestFit="1" customWidth="1"/>
    <col min="13829" max="14066" width="9" style="1"/>
    <col min="14067" max="14067" width="1" style="1" customWidth="1"/>
    <col min="14068" max="14068" width="3.75" style="1" bestFit="1" customWidth="1"/>
    <col min="14069" max="14069" width="5" style="1" bestFit="1" customWidth="1"/>
    <col min="14070" max="14070" width="8.75" style="1" bestFit="1" customWidth="1"/>
    <col min="14071" max="14071" width="6.5" style="1" bestFit="1" customWidth="1"/>
    <col min="14072" max="14073" width="8" style="1" customWidth="1"/>
    <col min="14074" max="14074" width="12" style="1" customWidth="1"/>
    <col min="14075" max="14075" width="6.75" style="1" customWidth="1"/>
    <col min="14076" max="14076" width="7.375" style="1" customWidth="1"/>
    <col min="14077" max="14077" width="7.75" style="1" customWidth="1"/>
    <col min="14078" max="14078" width="8.25" style="1" customWidth="1"/>
    <col min="14079" max="14079" width="9.125" style="1" customWidth="1"/>
    <col min="14080" max="14080" width="13.5" style="1" bestFit="1" customWidth="1"/>
    <col min="14081" max="14081" width="5.125" style="1" customWidth="1"/>
    <col min="14082" max="14082" width="9.5" style="1" customWidth="1"/>
    <col min="14083" max="14084" width="9.25" style="1" bestFit="1" customWidth="1"/>
    <col min="14085" max="14322" width="9" style="1"/>
    <col min="14323" max="14323" width="1" style="1" customWidth="1"/>
    <col min="14324" max="14324" width="3.75" style="1" bestFit="1" customWidth="1"/>
    <col min="14325" max="14325" width="5" style="1" bestFit="1" customWidth="1"/>
    <col min="14326" max="14326" width="8.75" style="1" bestFit="1" customWidth="1"/>
    <col min="14327" max="14327" width="6.5" style="1" bestFit="1" customWidth="1"/>
    <col min="14328" max="14329" width="8" style="1" customWidth="1"/>
    <col min="14330" max="14330" width="12" style="1" customWidth="1"/>
    <col min="14331" max="14331" width="6.75" style="1" customWidth="1"/>
    <col min="14332" max="14332" width="7.375" style="1" customWidth="1"/>
    <col min="14333" max="14333" width="7.75" style="1" customWidth="1"/>
    <col min="14334" max="14334" width="8.25" style="1" customWidth="1"/>
    <col min="14335" max="14335" width="9.125" style="1" customWidth="1"/>
    <col min="14336" max="14336" width="13.5" style="1" bestFit="1" customWidth="1"/>
    <col min="14337" max="14337" width="5.125" style="1" customWidth="1"/>
    <col min="14338" max="14338" width="9.5" style="1" customWidth="1"/>
    <col min="14339" max="14340" width="9.25" style="1" bestFit="1" customWidth="1"/>
    <col min="14341" max="14578" width="9" style="1"/>
    <col min="14579" max="14579" width="1" style="1" customWidth="1"/>
    <col min="14580" max="14580" width="3.75" style="1" bestFit="1" customWidth="1"/>
    <col min="14581" max="14581" width="5" style="1" bestFit="1" customWidth="1"/>
    <col min="14582" max="14582" width="8.75" style="1" bestFit="1" customWidth="1"/>
    <col min="14583" max="14583" width="6.5" style="1" bestFit="1" customWidth="1"/>
    <col min="14584" max="14585" width="8" style="1" customWidth="1"/>
    <col min="14586" max="14586" width="12" style="1" customWidth="1"/>
    <col min="14587" max="14587" width="6.75" style="1" customWidth="1"/>
    <col min="14588" max="14588" width="7.375" style="1" customWidth="1"/>
    <col min="14589" max="14589" width="7.75" style="1" customWidth="1"/>
    <col min="14590" max="14590" width="8.25" style="1" customWidth="1"/>
    <col min="14591" max="14591" width="9.125" style="1" customWidth="1"/>
    <col min="14592" max="14592" width="13.5" style="1" bestFit="1" customWidth="1"/>
    <col min="14593" max="14593" width="5.125" style="1" customWidth="1"/>
    <col min="14594" max="14594" width="9.5" style="1" customWidth="1"/>
    <col min="14595" max="14596" width="9.25" style="1" bestFit="1" customWidth="1"/>
    <col min="14597" max="14834" width="9" style="1"/>
    <col min="14835" max="14835" width="1" style="1" customWidth="1"/>
    <col min="14836" max="14836" width="3.75" style="1" bestFit="1" customWidth="1"/>
    <col min="14837" max="14837" width="5" style="1" bestFit="1" customWidth="1"/>
    <col min="14838" max="14838" width="8.75" style="1" bestFit="1" customWidth="1"/>
    <col min="14839" max="14839" width="6.5" style="1" bestFit="1" customWidth="1"/>
    <col min="14840" max="14841" width="8" style="1" customWidth="1"/>
    <col min="14842" max="14842" width="12" style="1" customWidth="1"/>
    <col min="14843" max="14843" width="6.75" style="1" customWidth="1"/>
    <col min="14844" max="14844" width="7.375" style="1" customWidth="1"/>
    <col min="14845" max="14845" width="7.75" style="1" customWidth="1"/>
    <col min="14846" max="14846" width="8.25" style="1" customWidth="1"/>
    <col min="14847" max="14847" width="9.125" style="1" customWidth="1"/>
    <col min="14848" max="14848" width="13.5" style="1" bestFit="1" customWidth="1"/>
    <col min="14849" max="14849" width="5.125" style="1" customWidth="1"/>
    <col min="14850" max="14850" width="9.5" style="1" customWidth="1"/>
    <col min="14851" max="14852" width="9.25" style="1" bestFit="1" customWidth="1"/>
    <col min="14853" max="15090" width="9" style="1"/>
    <col min="15091" max="15091" width="1" style="1" customWidth="1"/>
    <col min="15092" max="15092" width="3.75" style="1" bestFit="1" customWidth="1"/>
    <col min="15093" max="15093" width="5" style="1" bestFit="1" customWidth="1"/>
    <col min="15094" max="15094" width="8.75" style="1" bestFit="1" customWidth="1"/>
    <col min="15095" max="15095" width="6.5" style="1" bestFit="1" customWidth="1"/>
    <col min="15096" max="15097" width="8" style="1" customWidth="1"/>
    <col min="15098" max="15098" width="12" style="1" customWidth="1"/>
    <col min="15099" max="15099" width="6.75" style="1" customWidth="1"/>
    <col min="15100" max="15100" width="7.375" style="1" customWidth="1"/>
    <col min="15101" max="15101" width="7.75" style="1" customWidth="1"/>
    <col min="15102" max="15102" width="8.25" style="1" customWidth="1"/>
    <col min="15103" max="15103" width="9.125" style="1" customWidth="1"/>
    <col min="15104" max="15104" width="13.5" style="1" bestFit="1" customWidth="1"/>
    <col min="15105" max="15105" width="5.125" style="1" customWidth="1"/>
    <col min="15106" max="15106" width="9.5" style="1" customWidth="1"/>
    <col min="15107" max="15108" width="9.25" style="1" bestFit="1" customWidth="1"/>
    <col min="15109" max="15346" width="9" style="1"/>
    <col min="15347" max="15347" width="1" style="1" customWidth="1"/>
    <col min="15348" max="15348" width="3.75" style="1" bestFit="1" customWidth="1"/>
    <col min="15349" max="15349" width="5" style="1" bestFit="1" customWidth="1"/>
    <col min="15350" max="15350" width="8.75" style="1" bestFit="1" customWidth="1"/>
    <col min="15351" max="15351" width="6.5" style="1" bestFit="1" customWidth="1"/>
    <col min="15352" max="15353" width="8" style="1" customWidth="1"/>
    <col min="15354" max="15354" width="12" style="1" customWidth="1"/>
    <col min="15355" max="15355" width="6.75" style="1" customWidth="1"/>
    <col min="15356" max="15356" width="7.375" style="1" customWidth="1"/>
    <col min="15357" max="15357" width="7.75" style="1" customWidth="1"/>
    <col min="15358" max="15358" width="8.25" style="1" customWidth="1"/>
    <col min="15359" max="15359" width="9.125" style="1" customWidth="1"/>
    <col min="15360" max="15360" width="13.5" style="1" bestFit="1" customWidth="1"/>
    <col min="15361" max="15361" width="5.125" style="1" customWidth="1"/>
    <col min="15362" max="15362" width="9.5" style="1" customWidth="1"/>
    <col min="15363" max="15364" width="9.25" style="1" bestFit="1" customWidth="1"/>
    <col min="15365" max="15602" width="9" style="1"/>
    <col min="15603" max="15603" width="1" style="1" customWidth="1"/>
    <col min="15604" max="15604" width="3.75" style="1" bestFit="1" customWidth="1"/>
    <col min="15605" max="15605" width="5" style="1" bestFit="1" customWidth="1"/>
    <col min="15606" max="15606" width="8.75" style="1" bestFit="1" customWidth="1"/>
    <col min="15607" max="15607" width="6.5" style="1" bestFit="1" customWidth="1"/>
    <col min="15608" max="15609" width="8" style="1" customWidth="1"/>
    <col min="15610" max="15610" width="12" style="1" customWidth="1"/>
    <col min="15611" max="15611" width="6.75" style="1" customWidth="1"/>
    <col min="15612" max="15612" width="7.375" style="1" customWidth="1"/>
    <col min="15613" max="15613" width="7.75" style="1" customWidth="1"/>
    <col min="15614" max="15614" width="8.25" style="1" customWidth="1"/>
    <col min="15615" max="15615" width="9.125" style="1" customWidth="1"/>
    <col min="15616" max="15616" width="13.5" style="1" bestFit="1" customWidth="1"/>
    <col min="15617" max="15617" width="5.125" style="1" customWidth="1"/>
    <col min="15618" max="15618" width="9.5" style="1" customWidth="1"/>
    <col min="15619" max="15620" width="9.25" style="1" bestFit="1" customWidth="1"/>
    <col min="15621" max="15858" width="9" style="1"/>
    <col min="15859" max="15859" width="1" style="1" customWidth="1"/>
    <col min="15860" max="15860" width="3.75" style="1" bestFit="1" customWidth="1"/>
    <col min="15861" max="15861" width="5" style="1" bestFit="1" customWidth="1"/>
    <col min="15862" max="15862" width="8.75" style="1" bestFit="1" customWidth="1"/>
    <col min="15863" max="15863" width="6.5" style="1" bestFit="1" customWidth="1"/>
    <col min="15864" max="15865" width="8" style="1" customWidth="1"/>
    <col min="15866" max="15866" width="12" style="1" customWidth="1"/>
    <col min="15867" max="15867" width="6.75" style="1" customWidth="1"/>
    <col min="15868" max="15868" width="7.375" style="1" customWidth="1"/>
    <col min="15869" max="15869" width="7.75" style="1" customWidth="1"/>
    <col min="15870" max="15870" width="8.25" style="1" customWidth="1"/>
    <col min="15871" max="15871" width="9.125" style="1" customWidth="1"/>
    <col min="15872" max="15872" width="13.5" style="1" bestFit="1" customWidth="1"/>
    <col min="15873" max="15873" width="5.125" style="1" customWidth="1"/>
    <col min="15874" max="15874" width="9.5" style="1" customWidth="1"/>
    <col min="15875" max="15876" width="9.25" style="1" bestFit="1" customWidth="1"/>
    <col min="15877" max="16114" width="9" style="1"/>
    <col min="16115" max="16115" width="1" style="1" customWidth="1"/>
    <col min="16116" max="16116" width="3.75" style="1" bestFit="1" customWidth="1"/>
    <col min="16117" max="16117" width="5" style="1" bestFit="1" customWidth="1"/>
    <col min="16118" max="16118" width="8.75" style="1" bestFit="1" customWidth="1"/>
    <col min="16119" max="16119" width="6.5" style="1" bestFit="1" customWidth="1"/>
    <col min="16120" max="16121" width="8" style="1" customWidth="1"/>
    <col min="16122" max="16122" width="12" style="1" customWidth="1"/>
    <col min="16123" max="16123" width="6.75" style="1" customWidth="1"/>
    <col min="16124" max="16124" width="7.375" style="1" customWidth="1"/>
    <col min="16125" max="16125" width="7.75" style="1" customWidth="1"/>
    <col min="16126" max="16126" width="8.25" style="1" customWidth="1"/>
    <col min="16127" max="16127" width="9.125" style="1" customWidth="1"/>
    <col min="16128" max="16128" width="13.5" style="1" bestFit="1" customWidth="1"/>
    <col min="16129" max="16129" width="5.125" style="1" customWidth="1"/>
    <col min="16130" max="16130" width="9.5" style="1" customWidth="1"/>
    <col min="16131" max="16132" width="9.25" style="1" bestFit="1" customWidth="1"/>
    <col min="16133" max="16384" width="9" style="1"/>
  </cols>
  <sheetData>
    <row r="1" spans="2:16">
      <c r="G1" s="1" t="s">
        <v>91</v>
      </c>
    </row>
    <row r="2" spans="2:16" ht="13.5" thickBot="1">
      <c r="B2" s="1" t="s">
        <v>94</v>
      </c>
    </row>
    <row r="3" spans="2:16" ht="13.5" customHeight="1">
      <c r="B3" s="97" t="s">
        <v>0</v>
      </c>
      <c r="C3" s="98"/>
      <c r="D3" s="99"/>
      <c r="E3" s="103" t="s">
        <v>1</v>
      </c>
      <c r="F3" s="105" t="s">
        <v>74</v>
      </c>
      <c r="G3" s="106"/>
      <c r="H3" s="105" t="s">
        <v>92</v>
      </c>
      <c r="I3" s="106"/>
      <c r="J3" s="105" t="s">
        <v>75</v>
      </c>
      <c r="K3" s="109"/>
      <c r="L3" s="110"/>
      <c r="M3" s="3"/>
      <c r="N3" s="205" t="s">
        <v>2</v>
      </c>
      <c r="O3" s="206"/>
      <c r="P3" s="207"/>
    </row>
    <row r="4" spans="2:16" ht="29.25" customHeight="1">
      <c r="B4" s="100"/>
      <c r="C4" s="101"/>
      <c r="D4" s="102"/>
      <c r="E4" s="104"/>
      <c r="F4" s="107"/>
      <c r="G4" s="108"/>
      <c r="H4" s="4"/>
      <c r="I4" s="5" t="s">
        <v>86</v>
      </c>
      <c r="J4" s="107"/>
      <c r="K4" s="111"/>
      <c r="L4" s="112"/>
      <c r="M4" s="3"/>
      <c r="N4" s="208"/>
      <c r="O4" s="209"/>
      <c r="P4" s="210"/>
    </row>
    <row r="5" spans="2:16" ht="13.5" customHeight="1">
      <c r="B5" s="134" t="s">
        <v>3</v>
      </c>
      <c r="C5" s="115" t="s">
        <v>4</v>
      </c>
      <c r="D5" s="57" t="s">
        <v>35</v>
      </c>
      <c r="E5" s="58" t="s">
        <v>5</v>
      </c>
      <c r="F5" s="116"/>
      <c r="G5" s="117"/>
      <c r="H5" s="124">
        <f>SUM(I5:I32)</f>
        <v>20000</v>
      </c>
      <c r="I5" s="6">
        <v>13083</v>
      </c>
      <c r="J5" s="127">
        <f t="shared" ref="J5:J32" si="0">F5*I5</f>
        <v>0</v>
      </c>
      <c r="K5" s="128"/>
      <c r="L5" s="129"/>
      <c r="M5" s="7"/>
      <c r="N5" s="8" t="s">
        <v>4</v>
      </c>
      <c r="O5" s="9" t="s">
        <v>7</v>
      </c>
      <c r="P5" s="10"/>
    </row>
    <row r="6" spans="2:16" ht="13.5">
      <c r="B6" s="134"/>
      <c r="C6" s="115"/>
      <c r="D6" s="59" t="s">
        <v>36</v>
      </c>
      <c r="E6" s="60" t="s">
        <v>6</v>
      </c>
      <c r="F6" s="120"/>
      <c r="G6" s="121"/>
      <c r="H6" s="125"/>
      <c r="I6" s="11">
        <v>32</v>
      </c>
      <c r="J6" s="122">
        <f t="shared" si="0"/>
        <v>0</v>
      </c>
      <c r="K6" s="122"/>
      <c r="L6" s="123"/>
      <c r="M6" s="7"/>
      <c r="N6" s="12"/>
      <c r="O6" s="211" t="s">
        <v>66</v>
      </c>
      <c r="P6" s="212"/>
    </row>
    <row r="7" spans="2:16" ht="13.5">
      <c r="B7" s="134"/>
      <c r="C7" s="115"/>
      <c r="D7" s="59" t="s">
        <v>37</v>
      </c>
      <c r="E7" s="60" t="s">
        <v>5</v>
      </c>
      <c r="F7" s="120"/>
      <c r="G7" s="121"/>
      <c r="H7" s="125"/>
      <c r="I7" s="11">
        <v>90</v>
      </c>
      <c r="J7" s="122">
        <f t="shared" si="0"/>
        <v>0</v>
      </c>
      <c r="K7" s="122"/>
      <c r="L7" s="123"/>
      <c r="M7" s="7"/>
      <c r="N7" s="12"/>
      <c r="O7" s="213"/>
      <c r="P7" s="212"/>
    </row>
    <row r="8" spans="2:16" ht="13.5">
      <c r="B8" s="134"/>
      <c r="C8" s="115"/>
      <c r="D8" s="61" t="s">
        <v>38</v>
      </c>
      <c r="E8" s="62" t="s">
        <v>6</v>
      </c>
      <c r="F8" s="130"/>
      <c r="G8" s="131"/>
      <c r="H8" s="125"/>
      <c r="I8" s="13">
        <v>6</v>
      </c>
      <c r="J8" s="113">
        <f t="shared" si="0"/>
        <v>0</v>
      </c>
      <c r="K8" s="113"/>
      <c r="L8" s="114"/>
      <c r="M8" s="7"/>
      <c r="N8" s="14"/>
      <c r="O8" s="15"/>
      <c r="P8" s="16"/>
    </row>
    <row r="9" spans="2:16" ht="13.5" customHeight="1">
      <c r="B9" s="134"/>
      <c r="C9" s="115" t="s">
        <v>9</v>
      </c>
      <c r="D9" s="57" t="s">
        <v>39</v>
      </c>
      <c r="E9" s="63" t="s">
        <v>5</v>
      </c>
      <c r="F9" s="116"/>
      <c r="G9" s="117"/>
      <c r="H9" s="125"/>
      <c r="I9" s="6">
        <v>180</v>
      </c>
      <c r="J9" s="118">
        <f t="shared" si="0"/>
        <v>0</v>
      </c>
      <c r="K9" s="118"/>
      <c r="L9" s="119"/>
      <c r="M9" s="7"/>
      <c r="N9" s="8" t="s">
        <v>9</v>
      </c>
      <c r="O9" s="17" t="s">
        <v>7</v>
      </c>
      <c r="P9" s="10"/>
    </row>
    <row r="10" spans="2:16" ht="13.5">
      <c r="B10" s="134"/>
      <c r="C10" s="115"/>
      <c r="D10" s="59" t="s">
        <v>11</v>
      </c>
      <c r="E10" s="60" t="s">
        <v>6</v>
      </c>
      <c r="F10" s="120"/>
      <c r="G10" s="121"/>
      <c r="H10" s="125"/>
      <c r="I10" s="11">
        <v>14</v>
      </c>
      <c r="J10" s="122">
        <f t="shared" si="0"/>
        <v>0</v>
      </c>
      <c r="K10" s="122"/>
      <c r="L10" s="123"/>
      <c r="M10" s="7"/>
      <c r="N10" s="12"/>
      <c r="O10" s="17" t="s">
        <v>67</v>
      </c>
      <c r="P10" s="10"/>
    </row>
    <row r="11" spans="2:16" ht="13.5">
      <c r="B11" s="134"/>
      <c r="C11" s="115"/>
      <c r="D11" s="59" t="s">
        <v>37</v>
      </c>
      <c r="E11" s="60" t="s">
        <v>5</v>
      </c>
      <c r="F11" s="120"/>
      <c r="G11" s="121"/>
      <c r="H11" s="125"/>
      <c r="I11" s="11">
        <v>2290</v>
      </c>
      <c r="J11" s="122">
        <f t="shared" si="0"/>
        <v>0</v>
      </c>
      <c r="K11" s="122"/>
      <c r="L11" s="123"/>
      <c r="M11" s="7"/>
      <c r="N11" s="12"/>
      <c r="O11" s="17" t="s">
        <v>12</v>
      </c>
      <c r="P11" s="10"/>
    </row>
    <row r="12" spans="2:16" ht="13.5">
      <c r="B12" s="134"/>
      <c r="C12" s="115"/>
      <c r="D12" s="59" t="s">
        <v>38</v>
      </c>
      <c r="E12" s="60" t="s">
        <v>6</v>
      </c>
      <c r="F12" s="120"/>
      <c r="G12" s="121"/>
      <c r="H12" s="125"/>
      <c r="I12" s="11">
        <v>1376</v>
      </c>
      <c r="J12" s="122">
        <f t="shared" si="0"/>
        <v>0</v>
      </c>
      <c r="K12" s="122"/>
      <c r="L12" s="123"/>
      <c r="M12" s="7"/>
      <c r="N12" s="12"/>
      <c r="O12" s="17" t="s">
        <v>68</v>
      </c>
      <c r="P12" s="10"/>
    </row>
    <row r="13" spans="2:16" ht="13.5">
      <c r="B13" s="134"/>
      <c r="C13" s="115"/>
      <c r="D13" s="59" t="s">
        <v>40</v>
      </c>
      <c r="E13" s="60" t="s">
        <v>5</v>
      </c>
      <c r="F13" s="120"/>
      <c r="G13" s="121"/>
      <c r="H13" s="125"/>
      <c r="I13" s="11">
        <v>920</v>
      </c>
      <c r="J13" s="122">
        <f t="shared" si="0"/>
        <v>0</v>
      </c>
      <c r="K13" s="122"/>
      <c r="L13" s="123"/>
      <c r="M13" s="7"/>
      <c r="N13" s="12"/>
      <c r="O13" s="17" t="s">
        <v>69</v>
      </c>
      <c r="P13" s="10"/>
    </row>
    <row r="14" spans="2:16" ht="13.5">
      <c r="B14" s="134"/>
      <c r="C14" s="115"/>
      <c r="D14" s="59" t="s">
        <v>41</v>
      </c>
      <c r="E14" s="60" t="s">
        <v>6</v>
      </c>
      <c r="F14" s="120"/>
      <c r="G14" s="121"/>
      <c r="H14" s="125"/>
      <c r="I14" s="11">
        <v>876</v>
      </c>
      <c r="J14" s="122">
        <f t="shared" si="0"/>
        <v>0</v>
      </c>
      <c r="K14" s="122"/>
      <c r="L14" s="123"/>
      <c r="M14" s="7"/>
      <c r="N14" s="12"/>
      <c r="O14" s="17" t="s">
        <v>16</v>
      </c>
      <c r="P14" s="10"/>
    </row>
    <row r="15" spans="2:16" ht="13.5">
      <c r="B15" s="134"/>
      <c r="C15" s="115"/>
      <c r="D15" s="64" t="s">
        <v>42</v>
      </c>
      <c r="E15" s="60" t="s">
        <v>5</v>
      </c>
      <c r="F15" s="120"/>
      <c r="G15" s="121"/>
      <c r="H15" s="125"/>
      <c r="I15" s="11">
        <v>12</v>
      </c>
      <c r="J15" s="122">
        <f t="shared" si="0"/>
        <v>0</v>
      </c>
      <c r="K15" s="122"/>
      <c r="L15" s="123"/>
      <c r="M15" s="7"/>
      <c r="N15" s="12"/>
      <c r="O15" s="214" t="s">
        <v>70</v>
      </c>
      <c r="P15" s="215"/>
    </row>
    <row r="16" spans="2:16" ht="13.5">
      <c r="B16" s="134"/>
      <c r="C16" s="115"/>
      <c r="D16" s="64" t="s">
        <v>43</v>
      </c>
      <c r="E16" s="60" t="s">
        <v>6</v>
      </c>
      <c r="F16" s="120"/>
      <c r="G16" s="121"/>
      <c r="H16" s="125"/>
      <c r="I16" s="11">
        <v>264</v>
      </c>
      <c r="J16" s="122">
        <f t="shared" si="0"/>
        <v>0</v>
      </c>
      <c r="K16" s="122"/>
      <c r="L16" s="123"/>
      <c r="M16" s="7"/>
      <c r="N16" s="12"/>
      <c r="O16" s="216"/>
      <c r="P16" s="215"/>
    </row>
    <row r="17" spans="2:16" ht="13.5">
      <c r="B17" s="134"/>
      <c r="C17" s="115"/>
      <c r="D17" s="59" t="s">
        <v>44</v>
      </c>
      <c r="E17" s="60" t="s">
        <v>5</v>
      </c>
      <c r="F17" s="120"/>
      <c r="G17" s="121"/>
      <c r="H17" s="125"/>
      <c r="I17" s="11">
        <v>460</v>
      </c>
      <c r="J17" s="122">
        <f t="shared" si="0"/>
        <v>0</v>
      </c>
      <c r="K17" s="122"/>
      <c r="L17" s="123"/>
      <c r="M17" s="7"/>
      <c r="N17" s="12"/>
      <c r="O17" s="17" t="s">
        <v>18</v>
      </c>
      <c r="P17" s="18"/>
    </row>
    <row r="18" spans="2:16" ht="13.5">
      <c r="B18" s="134"/>
      <c r="C18" s="115"/>
      <c r="D18" s="59" t="s">
        <v>45</v>
      </c>
      <c r="E18" s="60" t="s">
        <v>6</v>
      </c>
      <c r="F18" s="120"/>
      <c r="G18" s="121"/>
      <c r="H18" s="125"/>
      <c r="I18" s="11">
        <v>230</v>
      </c>
      <c r="J18" s="122">
        <f t="shared" si="0"/>
        <v>0</v>
      </c>
      <c r="K18" s="122"/>
      <c r="L18" s="123"/>
      <c r="M18" s="7"/>
      <c r="N18" s="12"/>
      <c r="O18" s="217" t="s">
        <v>71</v>
      </c>
      <c r="P18" s="218"/>
    </row>
    <row r="19" spans="2:16" ht="13.5">
      <c r="B19" s="134"/>
      <c r="C19" s="115"/>
      <c r="D19" s="59" t="s">
        <v>46</v>
      </c>
      <c r="E19" s="60" t="s">
        <v>5</v>
      </c>
      <c r="F19" s="120"/>
      <c r="G19" s="121"/>
      <c r="H19" s="125"/>
      <c r="I19" s="11">
        <v>14</v>
      </c>
      <c r="J19" s="122">
        <f t="shared" si="0"/>
        <v>0</v>
      </c>
      <c r="K19" s="122"/>
      <c r="L19" s="123"/>
      <c r="M19" s="7"/>
      <c r="N19" s="12"/>
      <c r="O19" s="217"/>
      <c r="P19" s="218"/>
    </row>
    <row r="20" spans="2:16" ht="13.5">
      <c r="B20" s="134"/>
      <c r="C20" s="115"/>
      <c r="D20" s="61" t="s">
        <v>47</v>
      </c>
      <c r="E20" s="62" t="s">
        <v>6</v>
      </c>
      <c r="F20" s="120"/>
      <c r="G20" s="121"/>
      <c r="H20" s="125"/>
      <c r="I20" s="13">
        <v>86</v>
      </c>
      <c r="J20" s="113">
        <f t="shared" si="0"/>
        <v>0</v>
      </c>
      <c r="K20" s="113"/>
      <c r="L20" s="114"/>
      <c r="M20" s="7"/>
      <c r="N20" s="14"/>
      <c r="O20" s="219"/>
      <c r="P20" s="220"/>
    </row>
    <row r="21" spans="2:16" ht="13.5" customHeight="1">
      <c r="B21" s="134"/>
      <c r="C21" s="115" t="s">
        <v>15</v>
      </c>
      <c r="D21" s="65" t="s">
        <v>48</v>
      </c>
      <c r="E21" s="66" t="s">
        <v>5</v>
      </c>
      <c r="F21" s="95"/>
      <c r="G21" s="96"/>
      <c r="H21" s="125"/>
      <c r="I21" s="6">
        <v>0</v>
      </c>
      <c r="J21" s="118">
        <f t="shared" si="0"/>
        <v>0</v>
      </c>
      <c r="K21" s="118"/>
      <c r="L21" s="119"/>
      <c r="M21" s="7"/>
      <c r="N21" s="8" t="s">
        <v>15</v>
      </c>
      <c r="O21" s="17" t="s">
        <v>16</v>
      </c>
      <c r="P21" s="10"/>
    </row>
    <row r="22" spans="2:16" ht="13.5">
      <c r="B22" s="134"/>
      <c r="C22" s="115"/>
      <c r="D22" s="59" t="s">
        <v>49</v>
      </c>
      <c r="E22" s="67" t="s">
        <v>6</v>
      </c>
      <c r="F22" s="120"/>
      <c r="G22" s="121"/>
      <c r="H22" s="125"/>
      <c r="I22" s="11">
        <v>3</v>
      </c>
      <c r="J22" s="122">
        <f t="shared" si="0"/>
        <v>0</v>
      </c>
      <c r="K22" s="122"/>
      <c r="L22" s="123"/>
      <c r="M22" s="7"/>
      <c r="N22" s="12"/>
      <c r="O22" s="17" t="s">
        <v>72</v>
      </c>
      <c r="P22" s="18"/>
    </row>
    <row r="23" spans="2:16" ht="13.5">
      <c r="B23" s="134"/>
      <c r="C23" s="115"/>
      <c r="D23" s="59" t="s">
        <v>50</v>
      </c>
      <c r="E23" s="67" t="s">
        <v>5</v>
      </c>
      <c r="F23" s="93"/>
      <c r="G23" s="94"/>
      <c r="H23" s="125"/>
      <c r="I23" s="11">
        <v>0</v>
      </c>
      <c r="J23" s="122">
        <f t="shared" si="0"/>
        <v>0</v>
      </c>
      <c r="K23" s="122"/>
      <c r="L23" s="123"/>
      <c r="M23" s="7"/>
      <c r="N23" s="12"/>
      <c r="O23" s="17" t="s">
        <v>73</v>
      </c>
      <c r="P23" s="10"/>
    </row>
    <row r="24" spans="2:16" ht="13.5">
      <c r="B24" s="134"/>
      <c r="C24" s="115"/>
      <c r="D24" s="59" t="s">
        <v>51</v>
      </c>
      <c r="E24" s="67" t="s">
        <v>6</v>
      </c>
      <c r="F24" s="120"/>
      <c r="G24" s="121"/>
      <c r="H24" s="125"/>
      <c r="I24" s="11">
        <v>12</v>
      </c>
      <c r="J24" s="122">
        <f t="shared" si="0"/>
        <v>0</v>
      </c>
      <c r="K24" s="122"/>
      <c r="L24" s="123"/>
      <c r="M24" s="7"/>
      <c r="N24" s="12"/>
      <c r="O24" s="17" t="s">
        <v>18</v>
      </c>
      <c r="P24" s="10"/>
    </row>
    <row r="25" spans="2:16" ht="13.5">
      <c r="B25" s="134"/>
      <c r="C25" s="115"/>
      <c r="D25" s="59" t="s">
        <v>52</v>
      </c>
      <c r="E25" s="67" t="s">
        <v>5</v>
      </c>
      <c r="F25" s="93"/>
      <c r="G25" s="94"/>
      <c r="H25" s="125"/>
      <c r="I25" s="11">
        <v>0</v>
      </c>
      <c r="J25" s="122">
        <f t="shared" si="0"/>
        <v>0</v>
      </c>
      <c r="K25" s="122"/>
      <c r="L25" s="123"/>
      <c r="M25" s="7"/>
      <c r="N25" s="12"/>
      <c r="O25" s="17" t="s">
        <v>19</v>
      </c>
      <c r="P25" s="10"/>
    </row>
    <row r="26" spans="2:16" ht="13.5">
      <c r="B26" s="134"/>
      <c r="C26" s="115"/>
      <c r="D26" s="59" t="s">
        <v>53</v>
      </c>
      <c r="E26" s="67" t="s">
        <v>6</v>
      </c>
      <c r="F26" s="120"/>
      <c r="G26" s="121"/>
      <c r="H26" s="125"/>
      <c r="I26" s="11">
        <v>20</v>
      </c>
      <c r="J26" s="122">
        <f t="shared" si="0"/>
        <v>0</v>
      </c>
      <c r="K26" s="122"/>
      <c r="L26" s="123"/>
      <c r="M26" s="7"/>
      <c r="N26" s="12"/>
      <c r="O26" s="217" t="s">
        <v>20</v>
      </c>
      <c r="P26" s="221"/>
    </row>
    <row r="27" spans="2:16" ht="13.5">
      <c r="B27" s="134"/>
      <c r="C27" s="115"/>
      <c r="D27" s="59" t="s">
        <v>54</v>
      </c>
      <c r="E27" s="67" t="s">
        <v>5</v>
      </c>
      <c r="F27" s="93"/>
      <c r="G27" s="94"/>
      <c r="H27" s="125"/>
      <c r="I27" s="11">
        <v>0</v>
      </c>
      <c r="J27" s="122">
        <f t="shared" si="0"/>
        <v>0</v>
      </c>
      <c r="K27" s="122"/>
      <c r="L27" s="123"/>
      <c r="M27" s="7"/>
      <c r="N27" s="12"/>
      <c r="O27" s="222"/>
      <c r="P27" s="221"/>
    </row>
    <row r="28" spans="2:16" ht="13.5">
      <c r="B28" s="134"/>
      <c r="C28" s="115"/>
      <c r="D28" s="59" t="s">
        <v>55</v>
      </c>
      <c r="E28" s="67" t="s">
        <v>6</v>
      </c>
      <c r="F28" s="120"/>
      <c r="G28" s="121"/>
      <c r="H28" s="125"/>
      <c r="I28" s="11">
        <v>16</v>
      </c>
      <c r="J28" s="122">
        <f t="shared" si="0"/>
        <v>0</v>
      </c>
      <c r="K28" s="122"/>
      <c r="L28" s="123"/>
      <c r="M28" s="7"/>
      <c r="N28" s="12"/>
      <c r="O28" s="17"/>
      <c r="P28" s="10"/>
    </row>
    <row r="29" spans="2:16" ht="14.25" customHeight="1">
      <c r="B29" s="134"/>
      <c r="C29" s="115"/>
      <c r="D29" s="59" t="s">
        <v>56</v>
      </c>
      <c r="E29" s="67" t="s">
        <v>5</v>
      </c>
      <c r="F29" s="93"/>
      <c r="G29" s="94"/>
      <c r="H29" s="125"/>
      <c r="I29" s="11">
        <v>0</v>
      </c>
      <c r="J29" s="122">
        <f t="shared" si="0"/>
        <v>0</v>
      </c>
      <c r="K29" s="122"/>
      <c r="L29" s="123"/>
      <c r="M29" s="7"/>
      <c r="N29" s="12"/>
      <c r="O29" s="17"/>
      <c r="P29" s="10"/>
    </row>
    <row r="30" spans="2:16" ht="13.5">
      <c r="B30" s="134"/>
      <c r="C30" s="115"/>
      <c r="D30" s="59" t="s">
        <v>57</v>
      </c>
      <c r="E30" s="67" t="s">
        <v>6</v>
      </c>
      <c r="F30" s="120"/>
      <c r="G30" s="121"/>
      <c r="H30" s="125"/>
      <c r="I30" s="11">
        <v>12</v>
      </c>
      <c r="J30" s="122">
        <f t="shared" si="0"/>
        <v>0</v>
      </c>
      <c r="K30" s="122"/>
      <c r="L30" s="123"/>
      <c r="M30" s="7"/>
      <c r="N30" s="12"/>
      <c r="O30" s="17"/>
      <c r="P30" s="10"/>
    </row>
    <row r="31" spans="2:16" ht="14.25" customHeight="1">
      <c r="B31" s="134"/>
      <c r="C31" s="115"/>
      <c r="D31" s="59" t="s">
        <v>58</v>
      </c>
      <c r="E31" s="67" t="s">
        <v>5</v>
      </c>
      <c r="F31" s="93"/>
      <c r="G31" s="94"/>
      <c r="H31" s="125"/>
      <c r="I31" s="11">
        <v>0</v>
      </c>
      <c r="J31" s="122">
        <f t="shared" si="0"/>
        <v>0</v>
      </c>
      <c r="K31" s="122"/>
      <c r="L31" s="123"/>
      <c r="M31" s="7"/>
      <c r="N31" s="12"/>
      <c r="O31" s="17"/>
      <c r="P31" s="10"/>
    </row>
    <row r="32" spans="2:16" ht="14.25" thickBot="1">
      <c r="B32" s="151"/>
      <c r="C32" s="150"/>
      <c r="D32" s="68" t="s">
        <v>59</v>
      </c>
      <c r="E32" s="69" t="s">
        <v>6</v>
      </c>
      <c r="F32" s="120"/>
      <c r="G32" s="121"/>
      <c r="H32" s="126"/>
      <c r="I32" s="19">
        <v>4</v>
      </c>
      <c r="J32" s="122">
        <f t="shared" si="0"/>
        <v>0</v>
      </c>
      <c r="K32" s="122"/>
      <c r="L32" s="123"/>
      <c r="M32" s="7"/>
      <c r="N32" s="12"/>
      <c r="O32" s="17"/>
      <c r="P32" s="18"/>
    </row>
    <row r="33" spans="2:20" ht="30" customHeight="1" thickBot="1">
      <c r="B33" s="140" t="s">
        <v>21</v>
      </c>
      <c r="C33" s="141"/>
      <c r="D33" s="141"/>
      <c r="E33" s="142"/>
      <c r="F33" s="143"/>
      <c r="G33" s="144"/>
      <c r="H33" s="145">
        <f>SUM(I5:I32)</f>
        <v>20000</v>
      </c>
      <c r="I33" s="146"/>
      <c r="J33" s="147">
        <f>SUM(J5:L32)</f>
        <v>0</v>
      </c>
      <c r="K33" s="148"/>
      <c r="L33" s="149"/>
      <c r="M33" s="20" t="s">
        <v>60</v>
      </c>
      <c r="N33" s="223" t="s">
        <v>93</v>
      </c>
      <c r="O33" s="224"/>
      <c r="P33" s="225"/>
    </row>
    <row r="34" spans="2:20" ht="13.5" thickBot="1">
      <c r="B34" s="21"/>
      <c r="C34" s="21"/>
      <c r="D34" s="22"/>
      <c r="E34" s="22"/>
      <c r="F34" s="23"/>
      <c r="G34" s="23"/>
      <c r="H34" s="24"/>
      <c r="I34" s="7"/>
      <c r="J34" s="7"/>
      <c r="K34" s="25"/>
      <c r="L34" s="26"/>
      <c r="M34" s="7"/>
      <c r="N34" s="7"/>
      <c r="O34" s="7"/>
      <c r="P34" s="7"/>
    </row>
    <row r="35" spans="2:20" ht="13.5" customHeight="1">
      <c r="B35" s="97" t="s">
        <v>0</v>
      </c>
      <c r="C35" s="98"/>
      <c r="D35" s="99"/>
      <c r="E35" s="167" t="s">
        <v>82</v>
      </c>
      <c r="F35" s="168"/>
      <c r="G35" s="168"/>
      <c r="H35" s="168"/>
      <c r="I35" s="168"/>
      <c r="J35" s="168"/>
      <c r="K35" s="168"/>
      <c r="L35" s="169"/>
      <c r="M35" s="105" t="s">
        <v>92</v>
      </c>
      <c r="N35" s="106"/>
      <c r="O35" s="132" t="s">
        <v>75</v>
      </c>
      <c r="P35" s="7"/>
    </row>
    <row r="36" spans="2:20" ht="22.5">
      <c r="B36" s="100"/>
      <c r="C36" s="101"/>
      <c r="D36" s="102"/>
      <c r="E36" s="27" t="s">
        <v>83</v>
      </c>
      <c r="F36" s="28">
        <v>20</v>
      </c>
      <c r="G36" s="29">
        <v>30</v>
      </c>
      <c r="H36" s="30">
        <v>40</v>
      </c>
      <c r="I36" s="31">
        <v>50</v>
      </c>
      <c r="J36" s="28">
        <v>60</v>
      </c>
      <c r="K36" s="28">
        <v>70</v>
      </c>
      <c r="L36" s="29">
        <v>80</v>
      </c>
      <c r="M36" s="4"/>
      <c r="N36" s="5" t="s">
        <v>87</v>
      </c>
      <c r="O36" s="133"/>
      <c r="P36" s="7"/>
    </row>
    <row r="37" spans="2:20" ht="13.5" customHeight="1">
      <c r="B37" s="134" t="s">
        <v>22</v>
      </c>
      <c r="C37" s="115" t="s">
        <v>4</v>
      </c>
      <c r="D37" s="57" t="s">
        <v>35</v>
      </c>
      <c r="E37" s="82">
        <f>ROUND(H37*0.555,0)</f>
        <v>0</v>
      </c>
      <c r="F37" s="82">
        <f>ROUND(H37*0.778,0)</f>
        <v>0</v>
      </c>
      <c r="G37" s="82">
        <f>ROUND(H37*0.888,0)</f>
        <v>0</v>
      </c>
      <c r="H37" s="83"/>
      <c r="I37" s="82">
        <f>ROUND(H37*1.082,0)</f>
        <v>0</v>
      </c>
      <c r="J37" s="82">
        <f>ROUND(H37*1.194,0)</f>
        <v>0</v>
      </c>
      <c r="K37" s="82">
        <f>ROUND(H37*1.277,0)</f>
        <v>0</v>
      </c>
      <c r="L37" s="84">
        <f>ROUND(H37*1.388,0)</f>
        <v>0</v>
      </c>
      <c r="M37" s="136">
        <f>SUM(N37:N50)</f>
        <v>30000</v>
      </c>
      <c r="N37" s="32">
        <v>17072</v>
      </c>
      <c r="O37" s="33">
        <f t="shared" ref="O37:O50" si="1">H37*N37</f>
        <v>0</v>
      </c>
      <c r="P37" s="7"/>
      <c r="R37" s="34"/>
      <c r="S37" s="34"/>
      <c r="T37" s="34"/>
    </row>
    <row r="38" spans="2:20">
      <c r="B38" s="134"/>
      <c r="C38" s="115"/>
      <c r="D38" s="61" t="s">
        <v>8</v>
      </c>
      <c r="E38" s="85">
        <f>ROUND(H38*0.56,0)</f>
        <v>0</v>
      </c>
      <c r="F38" s="85">
        <f>ROUND(H38*0.78,0)</f>
        <v>0</v>
      </c>
      <c r="G38" s="85">
        <f>ROUND(H38*0.877,0)</f>
        <v>0</v>
      </c>
      <c r="H38" s="86"/>
      <c r="I38" s="85">
        <f>ROUND(H38*1.097,0)</f>
        <v>0</v>
      </c>
      <c r="J38" s="85">
        <f>ROUND(H38*1.195,0)</f>
        <v>0</v>
      </c>
      <c r="K38" s="85">
        <f>ROUND(H38*1.292,0)</f>
        <v>0</v>
      </c>
      <c r="L38" s="87">
        <f>ROUND(H38*1.39,0)</f>
        <v>0</v>
      </c>
      <c r="M38" s="137"/>
      <c r="N38" s="35">
        <v>144</v>
      </c>
      <c r="O38" s="36">
        <f t="shared" si="1"/>
        <v>0</v>
      </c>
      <c r="P38" s="7"/>
      <c r="R38" s="34"/>
      <c r="S38" s="34"/>
      <c r="T38" s="34"/>
    </row>
    <row r="39" spans="2:20" ht="13.5" customHeight="1">
      <c r="B39" s="134"/>
      <c r="C39" s="115" t="s">
        <v>9</v>
      </c>
      <c r="D39" s="57" t="s">
        <v>10</v>
      </c>
      <c r="E39" s="82">
        <f>ROUND(H39*0.552,0)</f>
        <v>0</v>
      </c>
      <c r="F39" s="82">
        <f>ROUND(H39*0.789,0)</f>
        <v>0</v>
      </c>
      <c r="G39" s="82">
        <f>ROUND(H39*0.894,0)</f>
        <v>0</v>
      </c>
      <c r="H39" s="83"/>
      <c r="I39" s="82">
        <f>ROUND(H39*1.078,0)</f>
        <v>0</v>
      </c>
      <c r="J39" s="82">
        <f>ROUND(H39*1.183,0)</f>
        <v>0</v>
      </c>
      <c r="K39" s="82">
        <f>ROUND(H39*1.29,0)</f>
        <v>0</v>
      </c>
      <c r="L39" s="84">
        <f>ROUND(H39*1.394,0)</f>
        <v>0</v>
      </c>
      <c r="M39" s="137"/>
      <c r="N39" s="32">
        <v>291</v>
      </c>
      <c r="O39" s="33">
        <f t="shared" si="1"/>
        <v>0</v>
      </c>
      <c r="P39" s="7"/>
      <c r="R39" s="34"/>
      <c r="S39" s="34"/>
      <c r="T39" s="34"/>
    </row>
    <row r="40" spans="2:20">
      <c r="B40" s="134"/>
      <c r="C40" s="115"/>
      <c r="D40" s="59" t="s">
        <v>8</v>
      </c>
      <c r="E40" s="85">
        <f>ROUND(H40*0.563,0)</f>
        <v>0</v>
      </c>
      <c r="F40" s="85">
        <f>ROUND(H40*0.791,0)</f>
        <v>0</v>
      </c>
      <c r="G40" s="85">
        <f>ROUND(H40*0.895,0)</f>
        <v>0</v>
      </c>
      <c r="H40" s="86"/>
      <c r="I40" s="85">
        <f>ROUND(H40*1.104,0)</f>
        <v>0</v>
      </c>
      <c r="J40" s="85">
        <f>ROUND(H40*1.208,0)</f>
        <v>0</v>
      </c>
      <c r="K40" s="85">
        <f>ROUND(H40*1.312,0)</f>
        <v>0</v>
      </c>
      <c r="L40" s="87">
        <f>ROUND(H40*1.395,0)</f>
        <v>0</v>
      </c>
      <c r="M40" s="137"/>
      <c r="N40" s="37">
        <v>6749</v>
      </c>
      <c r="O40" s="38">
        <f t="shared" si="1"/>
        <v>0</v>
      </c>
      <c r="P40" s="7"/>
      <c r="R40" s="34"/>
      <c r="S40" s="34"/>
      <c r="T40" s="34"/>
    </row>
    <row r="41" spans="2:20">
      <c r="B41" s="134"/>
      <c r="C41" s="115"/>
      <c r="D41" s="59" t="s">
        <v>61</v>
      </c>
      <c r="E41" s="85">
        <f>ROUND(H41*0.56,0)</f>
        <v>0</v>
      </c>
      <c r="F41" s="85">
        <f>ROUND(H41*0.786,0)</f>
        <v>0</v>
      </c>
      <c r="G41" s="85">
        <f>ROUND(H41*0.893,0)</f>
        <v>0</v>
      </c>
      <c r="H41" s="86"/>
      <c r="I41" s="85">
        <f>ROUND(H41*1.093,0)</f>
        <v>0</v>
      </c>
      <c r="J41" s="85">
        <f>ROUND(H41*1.2,0)</f>
        <v>0</v>
      </c>
      <c r="K41" s="85">
        <f>ROUND(H41*1.293,0)</f>
        <v>0</v>
      </c>
      <c r="L41" s="87">
        <f>ROUND(H41*1.4,0)</f>
        <v>0</v>
      </c>
      <c r="M41" s="137"/>
      <c r="N41" s="37">
        <v>3944</v>
      </c>
      <c r="O41" s="38">
        <f t="shared" si="1"/>
        <v>0</v>
      </c>
      <c r="P41" s="7"/>
      <c r="R41" s="34"/>
      <c r="S41" s="34"/>
      <c r="T41" s="34"/>
    </row>
    <row r="42" spans="2:20">
      <c r="B42" s="134"/>
      <c r="C42" s="115"/>
      <c r="D42" s="59" t="s">
        <v>13</v>
      </c>
      <c r="E42" s="85">
        <f>ROUND(H42*0.558,0)</f>
        <v>0</v>
      </c>
      <c r="F42" s="85">
        <f>ROUND(H42*0.8,0)</f>
        <v>0</v>
      </c>
      <c r="G42" s="85">
        <f>ROUND(H42*0.9,0)</f>
        <v>0</v>
      </c>
      <c r="H42" s="86"/>
      <c r="I42" s="85">
        <f>ROUND(H42*1.1,0)</f>
        <v>0</v>
      </c>
      <c r="J42" s="85">
        <f>ROUND(H42*1.208,0)</f>
        <v>0</v>
      </c>
      <c r="K42" s="85">
        <f>ROUND(H42*1.308,0)</f>
        <v>0</v>
      </c>
      <c r="L42" s="87">
        <f>ROUND(H42*1.408,0)</f>
        <v>0</v>
      </c>
      <c r="M42" s="137"/>
      <c r="N42" s="37">
        <v>414</v>
      </c>
      <c r="O42" s="38">
        <f t="shared" si="1"/>
        <v>0</v>
      </c>
      <c r="P42" s="7"/>
      <c r="R42" s="34"/>
      <c r="S42" s="34"/>
      <c r="T42" s="34"/>
    </row>
    <row r="43" spans="2:20">
      <c r="B43" s="134"/>
      <c r="C43" s="115"/>
      <c r="D43" s="59" t="s">
        <v>30</v>
      </c>
      <c r="E43" s="85">
        <f>ROUND(H43*0.5575,0)</f>
        <v>0</v>
      </c>
      <c r="F43" s="85">
        <f>ROUND(H43*0.7915,0)</f>
        <v>0</v>
      </c>
      <c r="G43" s="85">
        <f>ROUND(H43*0.896,0)</f>
        <v>0</v>
      </c>
      <c r="H43" s="86"/>
      <c r="I43" s="85">
        <f>ROUND(H43*1.099,0)</f>
        <v>0</v>
      </c>
      <c r="J43" s="85">
        <f>ROUND(H43*1.203,0)</f>
        <v>0</v>
      </c>
      <c r="K43" s="85">
        <f>ROUND(H43*1.302,0)</f>
        <v>0</v>
      </c>
      <c r="L43" s="87">
        <f>ROUND(H43*1.406,0)</f>
        <v>0</v>
      </c>
      <c r="M43" s="137"/>
      <c r="N43" s="37">
        <v>1035</v>
      </c>
      <c r="O43" s="38">
        <f t="shared" si="1"/>
        <v>0</v>
      </c>
      <c r="P43" s="7"/>
      <c r="R43" s="34"/>
      <c r="S43" s="34"/>
      <c r="T43" s="34"/>
    </row>
    <row r="44" spans="2:20">
      <c r="B44" s="134"/>
      <c r="C44" s="115"/>
      <c r="D44" s="61" t="s">
        <v>14</v>
      </c>
      <c r="E44" s="85">
        <f>ROUND(H44*0.562,0)</f>
        <v>0</v>
      </c>
      <c r="F44" s="85">
        <f>ROUND(H44*0.794,)</f>
        <v>0</v>
      </c>
      <c r="G44" s="85">
        <f>ROUND(H44*0.8986,0)</f>
        <v>0</v>
      </c>
      <c r="H44" s="86"/>
      <c r="I44" s="85">
        <f>ROUND(H44*1.1012,0)</f>
        <v>0</v>
      </c>
      <c r="J44" s="85">
        <f>ROUND(H44*1.2025,0)</f>
        <v>0</v>
      </c>
      <c r="K44" s="85">
        <f>ROUND(H44*1.304,0)</f>
        <v>0</v>
      </c>
      <c r="L44" s="87">
        <f>ROUND(H44*1.4084,0)</f>
        <v>0</v>
      </c>
      <c r="M44" s="137"/>
      <c r="N44" s="37">
        <v>150</v>
      </c>
      <c r="O44" s="36">
        <f t="shared" si="1"/>
        <v>0</v>
      </c>
      <c r="P44" s="7"/>
      <c r="R44" s="34"/>
      <c r="S44" s="34"/>
      <c r="T44" s="34"/>
    </row>
    <row r="45" spans="2:20" ht="13.5" customHeight="1">
      <c r="B45" s="134"/>
      <c r="C45" s="115" t="s">
        <v>15</v>
      </c>
      <c r="D45" s="65" t="s">
        <v>62</v>
      </c>
      <c r="E45" s="82">
        <f>ROUND(H45*0.56,0)</f>
        <v>0</v>
      </c>
      <c r="F45" s="82">
        <f>ROUND(H45*0.798,0)</f>
        <v>0</v>
      </c>
      <c r="G45" s="82">
        <f>ROUND(H45*0.899,0)</f>
        <v>0</v>
      </c>
      <c r="H45" s="83"/>
      <c r="I45" s="82">
        <f>ROUND(H45*1.101,0)</f>
        <v>0</v>
      </c>
      <c r="J45" s="82">
        <f>ROUND(H45*1.202,0)</f>
        <v>0</v>
      </c>
      <c r="K45" s="82">
        <f>ROUND(H45*1.303,0)</f>
        <v>0</v>
      </c>
      <c r="L45" s="84">
        <f>ROUND(H45*1.404,0)</f>
        <v>0</v>
      </c>
      <c r="M45" s="137"/>
      <c r="N45" s="32">
        <v>9</v>
      </c>
      <c r="O45" s="39">
        <f t="shared" si="1"/>
        <v>0</v>
      </c>
      <c r="P45" s="7"/>
      <c r="R45" s="34"/>
      <c r="S45" s="34"/>
      <c r="T45" s="34"/>
    </row>
    <row r="46" spans="2:20">
      <c r="B46" s="134"/>
      <c r="C46" s="115"/>
      <c r="D46" s="59" t="s">
        <v>23</v>
      </c>
      <c r="E46" s="85">
        <f>ROUND(H46*0.563,0)</f>
        <v>0</v>
      </c>
      <c r="F46" s="85">
        <f>ROUND(H46*0.799,0)</f>
        <v>0</v>
      </c>
      <c r="G46" s="85">
        <f>ROUND(H46*0.9021,0)</f>
        <v>0</v>
      </c>
      <c r="H46" s="86"/>
      <c r="I46" s="85">
        <f>ROUND(H46*1.1032,0)</f>
        <v>0</v>
      </c>
      <c r="J46" s="85">
        <f>ROUND(H46*1.207,0)</f>
        <v>0</v>
      </c>
      <c r="K46" s="85">
        <f>ROUND(H46*1.3101,0)</f>
        <v>0</v>
      </c>
      <c r="L46" s="87">
        <f>ROUND(H46*1.408,0)</f>
        <v>0</v>
      </c>
      <c r="M46" s="137"/>
      <c r="N46" s="37">
        <v>36</v>
      </c>
      <c r="O46" s="40">
        <f t="shared" si="1"/>
        <v>0</v>
      </c>
      <c r="P46" s="7"/>
      <c r="R46" s="34"/>
      <c r="S46" s="34"/>
      <c r="T46" s="34"/>
    </row>
    <row r="47" spans="2:20">
      <c r="B47" s="134"/>
      <c r="C47" s="115"/>
      <c r="D47" s="59" t="s">
        <v>17</v>
      </c>
      <c r="E47" s="85">
        <f>ROUND(H47*0.562,0)</f>
        <v>0</v>
      </c>
      <c r="F47" s="85">
        <f>ROUND(H47*0.794,0)</f>
        <v>0</v>
      </c>
      <c r="G47" s="85">
        <f>ROUND(H47*0.8986,0)</f>
        <v>0</v>
      </c>
      <c r="H47" s="86"/>
      <c r="I47" s="85">
        <f>ROUND(H47*1.1012,0)</f>
        <v>0</v>
      </c>
      <c r="J47" s="85">
        <f>ROUND(H47*1.2025,0)</f>
        <v>0</v>
      </c>
      <c r="K47" s="85">
        <f>ROUND(H47*1.304,0)</f>
        <v>0</v>
      </c>
      <c r="L47" s="87">
        <f>ROUND(H47*1.4084,0)</f>
        <v>0</v>
      </c>
      <c r="M47" s="137"/>
      <c r="N47" s="37">
        <v>60</v>
      </c>
      <c r="O47" s="38">
        <f t="shared" si="1"/>
        <v>0</v>
      </c>
      <c r="P47" s="7"/>
      <c r="R47" s="34"/>
      <c r="S47" s="34"/>
      <c r="T47" s="34"/>
    </row>
    <row r="48" spans="2:20">
      <c r="B48" s="134"/>
      <c r="C48" s="115"/>
      <c r="D48" s="59" t="s">
        <v>63</v>
      </c>
      <c r="E48" s="85">
        <f>ROUND(H48*0.5614,0)</f>
        <v>0</v>
      </c>
      <c r="F48" s="85">
        <f>ROUND(H48*0.7951,0)</f>
        <v>0</v>
      </c>
      <c r="G48" s="85">
        <f>ROUND(H48*0.8987,0)</f>
        <v>0</v>
      </c>
      <c r="H48" s="86"/>
      <c r="I48" s="85">
        <f>ROUND(H48*1.1011,0)</f>
        <v>0</v>
      </c>
      <c r="J48" s="85">
        <f>ROUND(H48*1.2047,0)</f>
        <v>0</v>
      </c>
      <c r="K48" s="85">
        <f>ROUND(H48*1.306,0)</f>
        <v>0</v>
      </c>
      <c r="L48" s="87">
        <f>ROUND(H48*1.4072,0)</f>
        <v>0</v>
      </c>
      <c r="M48" s="137"/>
      <c r="N48" s="37">
        <v>48</v>
      </c>
      <c r="O48" s="38">
        <f t="shared" si="1"/>
        <v>0</v>
      </c>
      <c r="P48" s="7"/>
      <c r="R48" s="34"/>
      <c r="S48" s="34"/>
      <c r="T48" s="34"/>
    </row>
    <row r="49" spans="2:20">
      <c r="B49" s="134"/>
      <c r="C49" s="115"/>
      <c r="D49" s="59" t="s">
        <v>24</v>
      </c>
      <c r="E49" s="85">
        <f>ROUND(H49*0.5611,0)</f>
        <v>0</v>
      </c>
      <c r="F49" s="85">
        <f>ROUND(H49*0.7951,0)</f>
        <v>0</v>
      </c>
      <c r="G49" s="85">
        <f>ROUND(H49*0.8984,0)</f>
        <v>0</v>
      </c>
      <c r="H49" s="86"/>
      <c r="I49" s="85">
        <f>ROUND(H49*1.1015,0)</f>
        <v>0</v>
      </c>
      <c r="J49" s="85">
        <f>ROUND(H49*1.2048,0)</f>
        <v>0</v>
      </c>
      <c r="K49" s="85">
        <f>ROUND(H49*1.3046,0)</f>
        <v>0</v>
      </c>
      <c r="L49" s="87">
        <f>ROUND(H49*1.408,0)</f>
        <v>0</v>
      </c>
      <c r="M49" s="137"/>
      <c r="N49" s="37">
        <v>36</v>
      </c>
      <c r="O49" s="38">
        <f t="shared" si="1"/>
        <v>0</v>
      </c>
      <c r="P49" s="7"/>
      <c r="R49" s="34"/>
      <c r="S49" s="34"/>
      <c r="T49" s="34"/>
    </row>
    <row r="50" spans="2:20" ht="13.5" thickBot="1">
      <c r="B50" s="135"/>
      <c r="C50" s="139"/>
      <c r="D50" s="70" t="s">
        <v>25</v>
      </c>
      <c r="E50" s="85">
        <f>ROUND(H50*0.5612,0)</f>
        <v>0</v>
      </c>
      <c r="F50" s="85">
        <f>ROUND(H50*0.7937,0)</f>
        <v>0</v>
      </c>
      <c r="G50" s="85">
        <f>ROUND(H50*0.8982,0)</f>
        <v>0</v>
      </c>
      <c r="H50" s="86"/>
      <c r="I50" s="85">
        <f>ROUND(H50*1.1004,0)</f>
        <v>0</v>
      </c>
      <c r="J50" s="85">
        <f>ROUND(H50*1.2036,)</f>
        <v>0</v>
      </c>
      <c r="K50" s="85">
        <f>ROUND(H50*1.304,0)</f>
        <v>0</v>
      </c>
      <c r="L50" s="87">
        <f>ROUND(H50*1.4071,0)</f>
        <v>0</v>
      </c>
      <c r="M50" s="138"/>
      <c r="N50" s="37">
        <v>12</v>
      </c>
      <c r="O50" s="41">
        <f t="shared" si="1"/>
        <v>0</v>
      </c>
      <c r="P50" s="42"/>
      <c r="R50" s="34"/>
      <c r="S50" s="34"/>
      <c r="T50" s="34"/>
    </row>
    <row r="51" spans="2:20" ht="15" customHeight="1" thickBot="1">
      <c r="B51" s="140" t="s">
        <v>21</v>
      </c>
      <c r="C51" s="141"/>
      <c r="D51" s="142"/>
      <c r="E51" s="43"/>
      <c r="F51" s="44"/>
      <c r="G51" s="45"/>
      <c r="H51" s="45"/>
      <c r="I51" s="45"/>
      <c r="J51" s="45"/>
      <c r="K51" s="45"/>
      <c r="L51" s="46"/>
      <c r="M51" s="152">
        <f>SUM(N37:N50)</f>
        <v>30000</v>
      </c>
      <c r="N51" s="152"/>
      <c r="O51" s="92">
        <f>SUM(O37:O50)</f>
        <v>0</v>
      </c>
      <c r="P51" s="47" t="s">
        <v>64</v>
      </c>
    </row>
    <row r="52" spans="2:20" ht="12.75" customHeight="1">
      <c r="B52" s="21"/>
      <c r="C52" s="21"/>
      <c r="D52" s="1" t="s">
        <v>90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49"/>
    </row>
    <row r="53" spans="2:20" ht="9" customHeight="1" thickBot="1">
      <c r="B53" s="21"/>
      <c r="C53" s="21"/>
      <c r="D53" s="50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/>
    </row>
    <row r="54" spans="2:20" ht="12.75" customHeight="1">
      <c r="B54" s="153" t="s">
        <v>26</v>
      </c>
      <c r="C54" s="154"/>
      <c r="D54" s="154"/>
      <c r="E54" s="155"/>
      <c r="F54" s="159" t="s">
        <v>84</v>
      </c>
      <c r="G54" s="160"/>
      <c r="H54" s="105" t="s">
        <v>92</v>
      </c>
      <c r="I54" s="106"/>
      <c r="J54" s="159" t="s">
        <v>75</v>
      </c>
      <c r="K54" s="163"/>
      <c r="L54" s="164"/>
      <c r="M54" s="23"/>
      <c r="N54" s="1"/>
      <c r="O54" s="1"/>
      <c r="P54" s="1"/>
    </row>
    <row r="55" spans="2:20" ht="22.5">
      <c r="B55" s="156"/>
      <c r="C55" s="157"/>
      <c r="D55" s="157"/>
      <c r="E55" s="158"/>
      <c r="F55" s="161"/>
      <c r="G55" s="162"/>
      <c r="H55" s="4"/>
      <c r="I55" s="5" t="s">
        <v>87</v>
      </c>
      <c r="J55" s="161"/>
      <c r="K55" s="165"/>
      <c r="L55" s="166"/>
      <c r="M55" s="23"/>
      <c r="N55" s="1"/>
      <c r="O55" s="1"/>
      <c r="P55" s="1"/>
    </row>
    <row r="56" spans="2:20" ht="13.5" customHeight="1">
      <c r="B56" s="178" t="s">
        <v>27</v>
      </c>
      <c r="C56" s="179" t="s">
        <v>28</v>
      </c>
      <c r="D56" s="71" t="s">
        <v>29</v>
      </c>
      <c r="E56" s="72"/>
      <c r="F56" s="196"/>
      <c r="G56" s="197"/>
      <c r="H56" s="198">
        <f>SUM(I56:I62)</f>
        <v>140</v>
      </c>
      <c r="I56" s="88">
        <v>30</v>
      </c>
      <c r="J56" s="183">
        <f t="shared" ref="J56:J62" si="2">F56*I56</f>
        <v>0</v>
      </c>
      <c r="K56" s="184"/>
      <c r="L56" s="185"/>
      <c r="M56" s="49"/>
      <c r="N56" s="1"/>
      <c r="O56" s="1"/>
      <c r="P56" s="1"/>
    </row>
    <row r="57" spans="2:20" ht="13.5" customHeight="1">
      <c r="B57" s="134"/>
      <c r="C57" s="180"/>
      <c r="D57" s="73" t="s">
        <v>65</v>
      </c>
      <c r="E57" s="74"/>
      <c r="F57" s="186"/>
      <c r="G57" s="187"/>
      <c r="H57" s="199"/>
      <c r="I57" s="89">
        <v>25</v>
      </c>
      <c r="J57" s="188">
        <f t="shared" si="2"/>
        <v>0</v>
      </c>
      <c r="K57" s="189"/>
      <c r="L57" s="190"/>
      <c r="M57" s="49"/>
      <c r="N57" s="1"/>
      <c r="O57" s="1"/>
      <c r="P57" s="1"/>
    </row>
    <row r="58" spans="2:20" ht="13.5" customHeight="1">
      <c r="B58" s="134"/>
      <c r="C58" s="180"/>
      <c r="D58" s="73" t="s">
        <v>14</v>
      </c>
      <c r="E58" s="74"/>
      <c r="F58" s="186"/>
      <c r="G58" s="187"/>
      <c r="H58" s="199"/>
      <c r="I58" s="89">
        <v>20</v>
      </c>
      <c r="J58" s="188">
        <f t="shared" si="2"/>
        <v>0</v>
      </c>
      <c r="K58" s="189"/>
      <c r="L58" s="190"/>
      <c r="M58" s="49"/>
      <c r="N58" s="1"/>
      <c r="O58" s="1"/>
      <c r="P58" s="1"/>
    </row>
    <row r="59" spans="2:20" ht="13.5" customHeight="1">
      <c r="B59" s="134"/>
      <c r="C59" s="104"/>
      <c r="D59" s="75" t="s">
        <v>31</v>
      </c>
      <c r="E59" s="76"/>
      <c r="F59" s="201"/>
      <c r="G59" s="202"/>
      <c r="H59" s="199"/>
      <c r="I59" s="90">
        <v>10</v>
      </c>
      <c r="J59" s="175">
        <f t="shared" si="2"/>
        <v>0</v>
      </c>
      <c r="K59" s="176"/>
      <c r="L59" s="177"/>
      <c r="M59" s="49"/>
      <c r="N59" s="1"/>
      <c r="O59" s="1"/>
      <c r="P59" s="1"/>
    </row>
    <row r="60" spans="2:20" ht="13.5" customHeight="1">
      <c r="B60" s="178" t="s">
        <v>32</v>
      </c>
      <c r="C60" s="179" t="s">
        <v>33</v>
      </c>
      <c r="D60" s="77" t="s">
        <v>30</v>
      </c>
      <c r="E60" s="78"/>
      <c r="F60" s="181"/>
      <c r="G60" s="182"/>
      <c r="H60" s="199"/>
      <c r="I60" s="88">
        <v>30</v>
      </c>
      <c r="J60" s="183">
        <f t="shared" si="2"/>
        <v>0</v>
      </c>
      <c r="K60" s="184"/>
      <c r="L60" s="185"/>
      <c r="M60" s="49"/>
      <c r="N60" s="1"/>
      <c r="O60" s="1"/>
      <c r="P60" s="1"/>
    </row>
    <row r="61" spans="2:20" ht="13.5" customHeight="1">
      <c r="B61" s="134"/>
      <c r="C61" s="180"/>
      <c r="D61" s="73" t="s">
        <v>14</v>
      </c>
      <c r="E61" s="74"/>
      <c r="F61" s="186"/>
      <c r="G61" s="187"/>
      <c r="H61" s="199"/>
      <c r="I61" s="89">
        <v>15</v>
      </c>
      <c r="J61" s="188">
        <f t="shared" si="2"/>
        <v>0</v>
      </c>
      <c r="K61" s="189"/>
      <c r="L61" s="190"/>
      <c r="M61" s="49"/>
      <c r="N61" s="1"/>
      <c r="O61" s="1"/>
      <c r="P61" s="1"/>
    </row>
    <row r="62" spans="2:20" ht="14.25" customHeight="1" thickBot="1">
      <c r="B62" s="151"/>
      <c r="C62" s="180"/>
      <c r="D62" s="79" t="s">
        <v>31</v>
      </c>
      <c r="E62" s="80"/>
      <c r="F62" s="191"/>
      <c r="G62" s="192"/>
      <c r="H62" s="200"/>
      <c r="I62" s="91">
        <v>10</v>
      </c>
      <c r="J62" s="193">
        <f t="shared" si="2"/>
        <v>0</v>
      </c>
      <c r="K62" s="194"/>
      <c r="L62" s="195"/>
      <c r="M62" s="49"/>
      <c r="N62" s="1"/>
      <c r="O62" s="1"/>
      <c r="P62" s="1"/>
    </row>
    <row r="63" spans="2:20" ht="15" customHeight="1" thickBot="1">
      <c r="B63" s="241" t="s">
        <v>21</v>
      </c>
      <c r="C63" s="242"/>
      <c r="D63" s="242"/>
      <c r="E63" s="51"/>
      <c r="F63" s="243"/>
      <c r="G63" s="244"/>
      <c r="H63" s="245">
        <f>SUM(I56:I62)</f>
        <v>140</v>
      </c>
      <c r="I63" s="245"/>
      <c r="J63" s="170">
        <f>SUM(J56:L62)</f>
        <v>0</v>
      </c>
      <c r="K63" s="170"/>
      <c r="L63" s="171"/>
      <c r="M63" s="52" t="s">
        <v>34</v>
      </c>
      <c r="N63" s="1"/>
      <c r="O63" s="1"/>
      <c r="P63" s="1"/>
    </row>
    <row r="64" spans="2:20" ht="13.5" thickBot="1">
      <c r="B64" s="7"/>
      <c r="C64" s="7"/>
      <c r="D64" s="7"/>
      <c r="E64" s="7"/>
      <c r="F64" s="49"/>
      <c r="G64" s="49"/>
      <c r="H64" s="53"/>
      <c r="I64" s="49"/>
      <c r="J64" s="49"/>
      <c r="K64" s="54"/>
      <c r="L64" s="53"/>
      <c r="M64" s="49"/>
      <c r="N64" s="55"/>
      <c r="O64" s="49"/>
      <c r="P64" s="49"/>
    </row>
    <row r="65" spans="2:16" ht="16.5" customHeight="1" thickBot="1">
      <c r="B65" s="172" t="s">
        <v>76</v>
      </c>
      <c r="C65" s="173"/>
      <c r="D65" s="173"/>
      <c r="E65" s="173"/>
      <c r="F65" s="173"/>
      <c r="G65" s="173"/>
      <c r="H65" s="173"/>
      <c r="I65" s="174"/>
      <c r="J65" s="147">
        <f>J33</f>
        <v>0</v>
      </c>
      <c r="K65" s="148"/>
      <c r="L65" s="149"/>
      <c r="M65" s="1"/>
      <c r="N65" s="55"/>
      <c r="O65" s="49"/>
      <c r="P65" s="49"/>
    </row>
    <row r="66" spans="2:16" ht="16.5" customHeight="1" thickBot="1">
      <c r="B66" s="172" t="s">
        <v>77</v>
      </c>
      <c r="C66" s="173"/>
      <c r="D66" s="173"/>
      <c r="E66" s="173"/>
      <c r="F66" s="173"/>
      <c r="G66" s="173"/>
      <c r="H66" s="173"/>
      <c r="I66" s="174"/>
      <c r="J66" s="147">
        <f>O51</f>
        <v>0</v>
      </c>
      <c r="K66" s="148"/>
      <c r="L66" s="149"/>
      <c r="M66" s="1"/>
      <c r="N66" s="55"/>
      <c r="O66" s="49"/>
      <c r="P66" s="49"/>
    </row>
    <row r="67" spans="2:16" ht="16.5" customHeight="1" thickBot="1">
      <c r="B67" s="172" t="s">
        <v>78</v>
      </c>
      <c r="C67" s="173"/>
      <c r="D67" s="173"/>
      <c r="E67" s="173"/>
      <c r="F67" s="173"/>
      <c r="G67" s="173"/>
      <c r="H67" s="173"/>
      <c r="I67" s="174"/>
      <c r="J67" s="147">
        <f>J63</f>
        <v>0</v>
      </c>
      <c r="K67" s="148"/>
      <c r="L67" s="149"/>
      <c r="M67" s="1"/>
      <c r="N67" s="55"/>
      <c r="O67" s="49"/>
      <c r="P67" s="49"/>
    </row>
    <row r="68" spans="2:16" ht="16.5" customHeight="1" thickBot="1">
      <c r="B68" s="172" t="s">
        <v>79</v>
      </c>
      <c r="C68" s="173"/>
      <c r="D68" s="173"/>
      <c r="E68" s="173"/>
      <c r="F68" s="173"/>
      <c r="G68" s="173"/>
      <c r="H68" s="173"/>
      <c r="I68" s="174"/>
      <c r="J68" s="147">
        <f>21200*25</f>
        <v>530000</v>
      </c>
      <c r="K68" s="148"/>
      <c r="L68" s="149"/>
      <c r="M68" s="81" t="s">
        <v>88</v>
      </c>
      <c r="N68" s="55"/>
      <c r="O68" s="1"/>
      <c r="P68" s="49"/>
    </row>
    <row r="69" spans="2:16" ht="16.5" customHeight="1" thickBot="1">
      <c r="B69" s="172" t="s">
        <v>80</v>
      </c>
      <c r="C69" s="173"/>
      <c r="D69" s="173"/>
      <c r="E69" s="173"/>
      <c r="F69" s="173"/>
      <c r="G69" s="173"/>
      <c r="H69" s="173"/>
      <c r="I69" s="174"/>
      <c r="J69" s="235">
        <v>0</v>
      </c>
      <c r="K69" s="236"/>
      <c r="L69" s="237"/>
      <c r="M69" s="81" t="s">
        <v>89</v>
      </c>
      <c r="N69" s="55"/>
      <c r="O69" s="1"/>
      <c r="P69" s="49"/>
    </row>
    <row r="70" spans="2:16" ht="16.5" customHeight="1" thickTop="1" thickBot="1">
      <c r="B70" s="172" t="s">
        <v>95</v>
      </c>
      <c r="C70" s="173"/>
      <c r="D70" s="173"/>
      <c r="E70" s="173"/>
      <c r="F70" s="173"/>
      <c r="G70" s="173"/>
      <c r="H70" s="173"/>
      <c r="I70" s="174"/>
      <c r="J70" s="238">
        <f>SUM(J65:L69)</f>
        <v>530000</v>
      </c>
      <c r="K70" s="239"/>
      <c r="L70" s="240"/>
      <c r="M70" s="56"/>
      <c r="N70" s="55"/>
      <c r="O70" s="1"/>
      <c r="P70" s="49"/>
    </row>
    <row r="71" spans="2:16" ht="16.5" hidden="1" customHeight="1" thickBot="1">
      <c r="B71" s="172" t="s">
        <v>81</v>
      </c>
      <c r="C71" s="173"/>
      <c r="D71" s="173"/>
      <c r="E71" s="173"/>
      <c r="F71" s="173"/>
      <c r="G71" s="173"/>
      <c r="H71" s="173"/>
      <c r="I71" s="174"/>
      <c r="J71" s="226">
        <f>ROUNDDOWN(J70*0.08,0)</f>
        <v>42400</v>
      </c>
      <c r="K71" s="227"/>
      <c r="L71" s="228"/>
      <c r="M71" s="56"/>
      <c r="N71" s="55"/>
      <c r="O71" s="1"/>
      <c r="P71" s="49"/>
    </row>
    <row r="72" spans="2:16" ht="16.5" hidden="1" customHeight="1" thickTop="1" thickBot="1">
      <c r="B72" s="229" t="s">
        <v>85</v>
      </c>
      <c r="C72" s="230"/>
      <c r="D72" s="230"/>
      <c r="E72" s="230"/>
      <c r="F72" s="230"/>
      <c r="G72" s="230"/>
      <c r="H72" s="230"/>
      <c r="I72" s="231"/>
      <c r="J72" s="232">
        <f>SUM(J70:L71)</f>
        <v>572400</v>
      </c>
      <c r="K72" s="233"/>
      <c r="L72" s="234"/>
      <c r="M72" s="1"/>
      <c r="N72" s="55"/>
      <c r="O72" s="49"/>
      <c r="P72" s="49"/>
    </row>
    <row r="73" spans="2:16" ht="67.5" customHeight="1">
      <c r="B73" s="203" t="s">
        <v>96</v>
      </c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4"/>
      <c r="P73" s="204"/>
    </row>
  </sheetData>
  <sheetProtection algorithmName="SHA-512" hashValue="ygIg8lykTHiKueM5Nipj2cVWoPnyBl3fTlvDmY0pN+Ejlqh6CMb8PQGdXlU7DC/YJNngHlNpEmnXZYcM1ldE7Q==" saltValue="Npi32Deb1NUz+F+noNu71g==" spinCount="100000" sheet="1" objects="1" scenarios="1" formatCells="0" formatColumns="0" formatRows="0" insertColumns="0" insertRows="0" insertHyperlinks="0" deleteColumns="0" deleteRows="0" sort="0" pivotTables="0"/>
  <mergeCells count="131">
    <mergeCell ref="B73:P73"/>
    <mergeCell ref="N3:P4"/>
    <mergeCell ref="O6:P7"/>
    <mergeCell ref="O15:P16"/>
    <mergeCell ref="O18:P20"/>
    <mergeCell ref="O26:P27"/>
    <mergeCell ref="N33:P33"/>
    <mergeCell ref="B71:I71"/>
    <mergeCell ref="J71:L71"/>
    <mergeCell ref="B72:I72"/>
    <mergeCell ref="J72:L72"/>
    <mergeCell ref="B69:I69"/>
    <mergeCell ref="J69:L69"/>
    <mergeCell ref="B70:I70"/>
    <mergeCell ref="J70:L70"/>
    <mergeCell ref="B66:I66"/>
    <mergeCell ref="J66:L66"/>
    <mergeCell ref="B67:I67"/>
    <mergeCell ref="J67:L67"/>
    <mergeCell ref="B68:I68"/>
    <mergeCell ref="J68:L68"/>
    <mergeCell ref="B63:D63"/>
    <mergeCell ref="F63:G63"/>
    <mergeCell ref="H63:I63"/>
    <mergeCell ref="J63:L63"/>
    <mergeCell ref="B65:I65"/>
    <mergeCell ref="J65:L65"/>
    <mergeCell ref="J59:L59"/>
    <mergeCell ref="B60:B62"/>
    <mergeCell ref="C60:C62"/>
    <mergeCell ref="F60:G60"/>
    <mergeCell ref="J60:L60"/>
    <mergeCell ref="F61:G61"/>
    <mergeCell ref="J61:L61"/>
    <mergeCell ref="F62:G62"/>
    <mergeCell ref="J62:L62"/>
    <mergeCell ref="B56:B59"/>
    <mergeCell ref="C56:C59"/>
    <mergeCell ref="F56:G56"/>
    <mergeCell ref="H56:H62"/>
    <mergeCell ref="J56:L56"/>
    <mergeCell ref="F57:G57"/>
    <mergeCell ref="J57:L57"/>
    <mergeCell ref="F58:G58"/>
    <mergeCell ref="J58:L58"/>
    <mergeCell ref="F59:G59"/>
    <mergeCell ref="B51:D51"/>
    <mergeCell ref="M51:N51"/>
    <mergeCell ref="B54:E55"/>
    <mergeCell ref="F54:G55"/>
    <mergeCell ref="H54:I54"/>
    <mergeCell ref="J54:L55"/>
    <mergeCell ref="B35:D36"/>
    <mergeCell ref="E35:L35"/>
    <mergeCell ref="M35:N35"/>
    <mergeCell ref="O35:O36"/>
    <mergeCell ref="B37:B50"/>
    <mergeCell ref="C37:C38"/>
    <mergeCell ref="M37:M50"/>
    <mergeCell ref="C39:C44"/>
    <mergeCell ref="C45:C50"/>
    <mergeCell ref="J31:L31"/>
    <mergeCell ref="F32:G32"/>
    <mergeCell ref="J32:L32"/>
    <mergeCell ref="B33:E33"/>
    <mergeCell ref="F33:G33"/>
    <mergeCell ref="H33:I33"/>
    <mergeCell ref="J33:L33"/>
    <mergeCell ref="C21:C32"/>
    <mergeCell ref="B5:B32"/>
    <mergeCell ref="J27:L27"/>
    <mergeCell ref="F28:G28"/>
    <mergeCell ref="J28:L28"/>
    <mergeCell ref="J29:L29"/>
    <mergeCell ref="F30:G30"/>
    <mergeCell ref="J30:L30"/>
    <mergeCell ref="J23:L23"/>
    <mergeCell ref="F24:G24"/>
    <mergeCell ref="J24:L24"/>
    <mergeCell ref="J25:L25"/>
    <mergeCell ref="F26:G26"/>
    <mergeCell ref="J26:L26"/>
    <mergeCell ref="F19:G19"/>
    <mergeCell ref="J19:L19"/>
    <mergeCell ref="F20:G20"/>
    <mergeCell ref="J20:L20"/>
    <mergeCell ref="J21:L21"/>
    <mergeCell ref="F22:G22"/>
    <mergeCell ref="J22:L22"/>
    <mergeCell ref="J17:L17"/>
    <mergeCell ref="F18:G18"/>
    <mergeCell ref="J18:L18"/>
    <mergeCell ref="F13:G13"/>
    <mergeCell ref="J13:L13"/>
    <mergeCell ref="F14:G14"/>
    <mergeCell ref="J14:L14"/>
    <mergeCell ref="F15:G15"/>
    <mergeCell ref="J15:L15"/>
    <mergeCell ref="J3:L4"/>
    <mergeCell ref="J8:L8"/>
    <mergeCell ref="C9:C20"/>
    <mergeCell ref="F9:G9"/>
    <mergeCell ref="J9:L9"/>
    <mergeCell ref="F10:G10"/>
    <mergeCell ref="J10:L10"/>
    <mergeCell ref="F11:G11"/>
    <mergeCell ref="J11:L11"/>
    <mergeCell ref="F12:G12"/>
    <mergeCell ref="J12:L12"/>
    <mergeCell ref="C5:C8"/>
    <mergeCell ref="F5:G5"/>
    <mergeCell ref="H5:H32"/>
    <mergeCell ref="J5:L5"/>
    <mergeCell ref="F6:G6"/>
    <mergeCell ref="J6:L6"/>
    <mergeCell ref="F7:G7"/>
    <mergeCell ref="J7:L7"/>
    <mergeCell ref="F31:G31"/>
    <mergeCell ref="F8:G8"/>
    <mergeCell ref="F16:G16"/>
    <mergeCell ref="J16:L16"/>
    <mergeCell ref="F17:G17"/>
    <mergeCell ref="F29:G29"/>
    <mergeCell ref="F27:G27"/>
    <mergeCell ref="F25:G25"/>
    <mergeCell ref="F23:G23"/>
    <mergeCell ref="F21:G21"/>
    <mergeCell ref="B3:D4"/>
    <mergeCell ref="E3:E4"/>
    <mergeCell ref="F3:G4"/>
    <mergeCell ref="H3:I3"/>
  </mergeCells>
  <phoneticPr fontId="3"/>
  <dataValidations count="1">
    <dataValidation type="whole" allowBlank="1" showInputMessage="1" showErrorMessage="1" sqref="F5:G20 F22:G22 F24:G24 F26:G26 F28:G28 F30:G30 F32:G32 F56:G62 H37:H50">
      <formula1>-10000000000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74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６北多摩西部</vt:lpstr>
    </vt:vector>
  </TitlesOfParts>
  <Company>公益財団法人 東京都農林水産振興財団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公益財団法人 東京都農林水産振興財団</cp:lastModifiedBy>
  <cp:lastPrinted>2019-02-04T08:19:49Z</cp:lastPrinted>
  <dcterms:created xsi:type="dcterms:W3CDTF">2018-02-23T02:09:25Z</dcterms:created>
  <dcterms:modified xsi:type="dcterms:W3CDTF">2019-02-28T06:06:29Z</dcterms:modified>
</cp:coreProperties>
</file>